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ariants" sheetId="1" state="visible" r:id="rId2"/>
    <sheet name="Gene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<sst xmlns="http://schemas.openxmlformats.org/spreadsheetml/2006/main" count="23191" uniqueCount="4612">
  <si>
    <t xml:space="preserve">Comment</t>
  </si>
  <si>
    <t xml:space="preserve">UCSC</t>
  </si>
  <si>
    <t xml:space="preserve">Chr</t>
  </si>
  <si>
    <t xml:space="preserve">Start</t>
  </si>
  <si>
    <t xml:space="preserve">End</t>
  </si>
  <si>
    <t xml:space="preserve">Ref</t>
  </si>
  <si>
    <t xml:space="preserve">Alt</t>
  </si>
  <si>
    <t xml:space="preserve">VCF.QUAL</t>
  </si>
  <si>
    <t xml:space="preserve">VCF.DP</t>
  </si>
  <si>
    <t xml:space="preserve">VCF.AD</t>
  </si>
  <si>
    <t xml:space="preserve">HGMD</t>
  </si>
  <si>
    <t xml:space="preserve">avsnp150</t>
  </si>
  <si>
    <t xml:space="preserve">AnnoFit.GeneName</t>
  </si>
  <si>
    <t xml:space="preserve">AnnoFit.Func</t>
  </si>
  <si>
    <t xml:space="preserve">AnnoFit.ExonicFunc</t>
  </si>
  <si>
    <t xml:space="preserve">AnnoFit.Details</t>
  </si>
  <si>
    <t xml:space="preserve">AnnoFit.PopFreqMax</t>
  </si>
  <si>
    <t xml:space="preserve">non_topmed_AF_popmax</t>
  </si>
  <si>
    <t xml:space="preserve">non_neuro_AF_popmax</t>
  </si>
  <si>
    <t xml:space="preserve">non_cancer_AF_popmax</t>
  </si>
  <si>
    <t xml:space="preserve">controls_AF_popmax</t>
  </si>
  <si>
    <t xml:space="preserve">AnnoFit.ExonPred</t>
  </si>
  <si>
    <t xml:space="preserve">AnnoFit.SplicePred</t>
  </si>
  <si>
    <t xml:space="preserve">regsnp_disease</t>
  </si>
  <si>
    <t xml:space="preserve">regsnp_splicing_site</t>
  </si>
  <si>
    <t xml:space="preserve">AnnoFit.Conservation</t>
  </si>
  <si>
    <t xml:space="preserve">InterVar_automated</t>
  </si>
  <si>
    <t xml:space="preserve">CLNSIG</t>
  </si>
  <si>
    <t xml:space="preserve">VCF.GT</t>
  </si>
  <si>
    <t xml:space="preserve">Annofit.Compound</t>
  </si>
  <si>
    <t xml:space="preserve">pLi</t>
  </si>
  <si>
    <t xml:space="preserve">Gene_full_name</t>
  </si>
  <si>
    <t xml:space="preserve">Function_description</t>
  </si>
  <si>
    <t xml:space="preserve">Disease_description</t>
  </si>
  <si>
    <t xml:space="preserve">GIAB_Problems</t>
  </si>
  <si>
    <t xml:space="preserve">ENCODE_Blacklist</t>
  </si>
  <si>
    <t xml:space="preserve">UCSC_UnusualRegions</t>
  </si>
  <si>
    <t xml:space="preserve">NCBI_Problems</t>
  </si>
  <si>
    <t xml:space="preserve">chr11</t>
  </si>
  <si>
    <t xml:space="preserve">C</t>
  </si>
  <si>
    <t xml:space="preserve">T</t>
  </si>
  <si>
    <t xml:space="preserve">841.64</t>
  </si>
  <si>
    <t xml:space="preserve">65</t>
  </si>
  <si>
    <t xml:space="preserve">36,29</t>
  </si>
  <si>
    <t xml:space="preserve">CS129943</t>
  </si>
  <si>
    <t xml:space="preserve">UTR5;intronic</t>
  </si>
  <si>
    <t xml:space="preserve">.</t>
  </si>
  <si>
    <t xml:space="preserve">ENST00000527316.6_5:c.-80G&gt;A</t>
  </si>
  <si>
    <t xml:space="preserve">2/8</t>
  </si>
  <si>
    <t xml:space="preserve">0/7</t>
  </si>
  <si>
    <t xml:space="preserve">Benign/Likely_benign</t>
  </si>
  <si>
    <t xml:space="preserve">0/1</t>
  </si>
  <si>
    <t xml:space="preserve">1</t>
  </si>
  <si>
    <t xml:space="preserve">5.04266438763907e-08</t>
  </si>
  <si>
    <t xml:space="preserve">7-dehydrocholesterol reductase</t>
  </si>
  <si>
    <t xml:space="preserve">FUNCTION: Production of cholesterol by reduction of C7-C8 double bond of 7-dehydrocholesterol (7-DHC).; </t>
  </si>
  <si>
    <t xml:space="preserve">chr1</t>
  </si>
  <si>
    <t xml:space="preserve">A</t>
  </si>
  <si>
    <t xml:space="preserve">832.64</t>
  </si>
  <si>
    <t xml:space="preserve">58</t>
  </si>
  <si>
    <t xml:space="preserve">32,26</t>
  </si>
  <si>
    <t xml:space="preserve">CS062082</t>
  </si>
  <si>
    <t xml:space="preserve">intronic</t>
  </si>
  <si>
    <t xml:space="preserve">B</t>
  </si>
  <si>
    <t xml:space="preserve">off</t>
  </si>
  <si>
    <t xml:space="preserve">1.00020289233933e-05</t>
  </si>
  <si>
    <t xml:space="preserve">pyruvate kinase, liver and RBC</t>
  </si>
  <si>
    <t xml:space="preserve">FUNCTION: Plays a key role in glycolysis. {ECO:0000250}.; </t>
  </si>
  <si>
    <t xml:space="preserve">DISEASE: Pyruvate kinase hyperactivity (PKHYP) [MIM:102900]: Autosomal dominant phenotype characterized by increase of red blood cell ATP. {ECO:0000269|PubMed:9090535}. Note=The disease is caused by mutations affecting the gene represented in this entry.; DISEASE: Pyruvate kinase deficiency of red cells (PKRD) [MIM:266200]: A frequent cause of hereditary non-spherocytic hemolytic anemia. Clinically, pyruvate kinase-deficient patients suffer from a highly variable degree of chronic hemolysis, ranging from severe neonatal jaundice and fatal anemia at birth, severe transfusion-dependent chronic hemolysis, moderate hemolysis with exacerbation during infection, to a fully compensated hemolysis without apparent anemia. {ECO:0000269|PubMed:11328279, ECO:0000269|PubMed:1536957, ECO:0000269|PubMed:1896471, ECO:0000269|PubMed:19085939, ECO:0000269|PubMed:2018831, ECO:0000269|PubMed:21794208, ECO:0000269|PubMed:7706479, ECO:0000269|PubMed:8161798, ECO:0000269|PubMed:8180378, ECO:0000269|PubMed:8476433, ECO:0000269|PubMed:8481523, ECO:0000269|PubMed:8483951, ECO:0000269|PubMed:9482576, ECO:0000269|PubMed:9827908, ECO:0000269|PubMed:9886305, ECO:0000269|Ref.24}. Note=The disease is caused by mutations affecting the gene represented in this entry.; </t>
  </si>
  <si>
    <t xml:space="preserve">G</t>
  </si>
  <si>
    <t xml:space="preserve">593.64</t>
  </si>
  <si>
    <t xml:space="preserve">35</t>
  </si>
  <si>
    <t xml:space="preserve">15,20</t>
  </si>
  <si>
    <t xml:space="preserve">CR961726</t>
  </si>
  <si>
    <t xml:space="preserve">UTR3</t>
  </si>
  <si>
    <t xml:space="preserve">NM_000506:c.*97G&gt;A;uc001ndf.4:c.*97G&gt;A;ENST00000311907.10_3:c.*97G&gt;A</t>
  </si>
  <si>
    <t xml:space="preserve">Pathogenic,_risk_factor</t>
  </si>
  <si>
    <t xml:space="preserve">0.959943187768661</t>
  </si>
  <si>
    <t xml:space="preserve">coagulation factor II, thrombin</t>
  </si>
  <si>
    <t xml:space="preserve">FUNCTION: Thrombin, which cleaves bonds after Arg and Lys, converts fibrinogen to fibrin and activates factors V, VII, VIII, XIII, and, in complex with thrombomodulin, protein C. Functions in blood homeostasis, inflammation and wound healing. {ECO:0000269|PubMed:2856554}.; </t>
  </si>
  <si>
    <t xml:space="preserve">DISEASE: Factor II deficiency (FA2D) [MIM:613679]: A very rare blood coagulation disorder characterized by mucocutaneous bleeding symptoms. The severity of the bleeding manifestations correlates with blood factor II levels. {ECO:0000269|PubMed:1349838, ECO:0000269|PubMed:1354985, ECO:0000269|PubMed:1421398, ECO:0000269|PubMed:14962227, ECO:0000269|PubMed:2719946, ECO:0000269|PubMed:3242619, ECO:0000269|PubMed:3567158, ECO:0000269|PubMed:3771562, ECO:0000269|PubMed:3801671, ECO:0000269|PubMed:6405779, ECO:0000269|PubMed:7792730, ECO:0000269|PubMed:7865694}. Note=The disease is caused by mutations affecting the gene represented in this entry.; DISEASE: Ischemic stroke (ISCHSTR) [MIM:601367]: A stroke is an acute neurologic event leading to death of neural tissue of the brain and resulting in loss of motor, sensory and/or cognitive function. Ischemic strokes, resulting from vascular occlusion, is considered to be a highly complex disease consisting of a group of heterogeneous disorders with multiple genetic and environmental risk factors. {ECO:0000269|PubMed:15534175}. Note=Disease susceptibility is associated with variations affecting the gene represented in this entry.; DISEASE: Thrombophilia due to thrombin defect (THPH1) [MIM:188050]: A multifactorial disorder of hemostasis characterized by abnormal platelet aggregation in response to various agents and recurrent thrombi formation. {ECO:0000269|PubMed:2825773}. Note=The disease is caused by mutations affecting the gene represented in this entry. A common genetic variation in the 3-prime untranslated region of the prothrombin gene is associated with elevated plasma prothrombin levels and an increased risk of venous thrombosis.; DISEASE: Pregnancy loss, recurrent, 2 (RPRGL2) [MIM:614390]: A common complication of pregnancy, resulting in spontaneous abortion before the fetus has reached viability. The term includes all miscarriages from the time of conception until 24 weeks of gestation. Recurrent pregnancy loss is defined as 3 or more consecutive spontaneous abortions. {ECO:0000269|PubMed:11506076}. Note=Disease susceptibility is associated with variations affecting the gene represented in this entry.; </t>
  </si>
  <si>
    <t xml:space="preserve">chr15</t>
  </si>
  <si>
    <t xml:space="preserve">1081.64</t>
  </si>
  <si>
    <t xml:space="preserve">70</t>
  </si>
  <si>
    <t xml:space="preserve">40,30</t>
  </si>
  <si>
    <t xml:space="preserve">CR1313982</t>
  </si>
  <si>
    <t xml:space="preserve">UTR3;ncRNA_intronic</t>
  </si>
  <si>
    <t xml:space="preserve">NM_000875:c.*5157A&gt;G;NM_001291858:c.*5157A&gt;G;uc002bul.3:c.*5157A&gt;G;uc010bon.3:c.*5157A&gt;G</t>
  </si>
  <si>
    <t xml:space="preserve">3</t>
  </si>
  <si>
    <t xml:space="preserve">0.552974259646112</t>
  </si>
  <si>
    <t xml:space="preserve">insulin like growth factor 1 receptor</t>
  </si>
  <si>
    <t xml:space="preserve">FUNCTION: Receptor tyrosine kinase which mediates actions of insulin-like growth factor 1 (IGF1). Binds IGF1 with high affinity and IGF2 and insulin (INS) with a lower affinity. The activated IGF1R is involved in cell growth and survival control. IGF1R is crucial for tumor transformation and survival of malignant cell. Ligand binding activates the receptor kinase, leading to receptor autophosphorylation, and tyrosines phosphorylation of multiple substrates, that function as signaling adapter proteins including, the insulin-receptor substrates (IRS1/2), Shc and 14-3-3 proteins. Phosphorylation of IRSs proteins lead to the activation of two main signaling pathways: the PI3K-AKT/PKB pathway and the Ras-MAPK pathway. The result of activating the MAPK pathway is increased cellular proliferation, whereas activating the PI3K pathway inhibits apoptosis and stimulates protein synthesis. Phosphorylated IRS1 can activate the 85 kDa regulatory subunit of PI3K (PIK3R1), leading to activation of several downstream substrates, including protein AKT/PKB. AKT phosphorylation, in turn, enhances protein synthesis through mTOR activation and triggers the antiapoptotic effects of IGFIR through phosphorylation and inactivation of BAD. In parallel to PI3K- driven signaling, recruitment of Grb2/SOS by phosphorylated IRS1 or Shc leads to recruitment of Ras and activation of the ras-MAPK pathway. In addition to these two main signaling pathways IGF1R signals also through the Janus kinase/signal transducer and activator of transcription pathway (JAK/STAT). Phosphorylation of JAK proteins can lead to phosphorylation/activation of signal transducers and activators of transcription (STAT) proteins. In particular activation of STAT3, may be essential for the transforming activity of IGF1R. The JAK/STAT pathway activates gene transcription and may be responsible for the transforming activity. JNK kinases can also be activated by the IGF1R. IGF1 exerts inhibiting activities on JNK activation via phosphorylation and inhibition of MAP3K5/ASK1, which is able to directly associate with the IGF1R.; </t>
  </si>
  <si>
    <t xml:space="preserve">DISEASE: Insulin-like growth factor 1 resistance (IGF1RES) [MIM:270450]: A disorder characterized by intrauterine growth retardation, poor postnatal growth and increased plasma IGF1 levels. {ECO:0000269|PubMed:14657428, ECO:0000269|PubMed:15928254}. Note=The disease is caused by mutations affecting the gene represented in this entry.; </t>
  </si>
  <si>
    <t xml:space="preserve">chr2</t>
  </si>
  <si>
    <t xml:space="preserve">259.64</t>
  </si>
  <si>
    <t xml:space="preserve">20</t>
  </si>
  <si>
    <t xml:space="preserve">10,10</t>
  </si>
  <si>
    <t xml:space="preserve">CM941280;CM941281</t>
  </si>
  <si>
    <t xml:space="preserve">exonic</t>
  </si>
  <si>
    <t xml:space="preserve">nonsynonymous SNV</t>
  </si>
  <si>
    <t xml:space="preserve">SLC3A1:NM_000341:exon8:c.T1400C:p.M467T;SLC3A1:uc002rue.4:exon2:c.T260C:p.M87T,SLC3A1:uc002rud.4:exon5:c.T566C:p.M189T,SLC3A1:uc002rtz.2:exon8:c.T1400C:p.M467T,SLC3A1:uc002rua.3:exon8:c.T1400C:p.M467T,SLC3A1:uc002rub.2:exon8:c.T1400C:p.M467T,SLC3A1:uc002ruc.4:exon8:c.T1400C:p.M467T;SLC3A1:ENST00000409740.3_1:exon2:c.T293C:p.M98T,SLC3A1:ENST00000409294.5_1:exon3:c.T260C:p.M87T,SLC3A1:ENST00000409380.5_1:exon5:c.T566C:p.M189T,SLC3A1:ENST00000260649.11_5:exon8:c.T1400C:p.M467T,SLC3A1:ENST00000409229.7_3:exon8:c.T1400C:p.M467T,SLC3A1:ENST00000409387.5_3:exon8:c.T1400C:p.M467T,SLC3A1:ENST00000409741.5_3:exon8:c.T1400C:p.M467T,SLC3A1:ENST00000611973.4_3:exon8:c.T1400C:p.M467T</t>
  </si>
  <si>
    <t xml:space="preserve">8/11</t>
  </si>
  <si>
    <t xml:space="preserve">4/7</t>
  </si>
  <si>
    <t xml:space="preserve">Likely pathogenic</t>
  </si>
  <si>
    <t xml:space="preserve">Pathogenic</t>
  </si>
  <si>
    <t xml:space="preserve">7.54764121472888e-16</t>
  </si>
  <si>
    <t xml:space="preserve">solute carrier family 3 member 1</t>
  </si>
  <si>
    <t xml:space="preserve">FUNCTION: Involved in the high-affinity, sodium-independent transport of cystine and neutral and dibasic amino acids (system B(0,+)-like activity). May function as an activator of SLC7A9 and be involved in the high-affinity reabsorption of cystine in the kidney tubule. {ECO:0000269|PubMed:11318953, ECO:0000269|PubMed:7686906, ECO:0000269|PubMed:8486766, ECO:0000269|PubMed:8663184}.; </t>
  </si>
  <si>
    <t xml:space="preserve">DISEASE: Hypotonia-cystinuria syndrome (HCS) [MIM:606407]: Characterized generalized hypotonia at birth, nephrolithiasis, growth hormone deficiency, minor facial dysmorphism, failure to thrive, followed by hyperphagia and rapid weight gain in late childhood. {ECO:0000269|PubMed:16385448}. Note=The disease is caused by mutations affecting the gene represented in this entry.; </t>
  </si>
  <si>
    <t xml:space="preserve">chr5</t>
  </si>
  <si>
    <t xml:space="preserve">103.64</t>
  </si>
  <si>
    <t xml:space="preserve">7</t>
  </si>
  <si>
    <t xml:space="preserve">4,3</t>
  </si>
  <si>
    <t xml:space="preserve">CM930313</t>
  </si>
  <si>
    <t xml:space="preserve">GHR:NM_001242460:exon4:c.C469T:p.R157C,GHR:NM_001242406:exon5:c.C535T:p.R179C,GHR:NM_001242462:exon5:c.C535T:p.R179C,GHR:NM_000163:exon6:c.C535T:p.R179C,GHR:NM_001242399:exon6:c.C556T:p.R186C,GHR:NM_001242402:exon6:c.C535T:p.R179C,GHR:NM_001242403:exon6:c.C535T:p.R179C,GHR:NM_001242404:exon6:c.C535T:p.R179C,GHR:NM_001242405:exon6:c.C535T:p.R179C,GHR:NM_001242400:exon7:c.C535T:p.R179C,GHR:NM_001242401:exon7:c.C535T:p.R179C;GHR:uc021xyd.1:exon4:c.C469T:p.R157C,GHR:uc021xya.1:exon5:c.C535T:p.R179C,GHR:uc021xyb.1:exon5:c.C535T:p.R179C,GHR:uc021xyc.1:exon5:c.C535T:p.R179C,GHR:uc003jmt.3:exon6:c.C535T:p.R179C,GHR:uc021xxv.1:exon6:c.C556T:p.R186C,GHR:uc021xxw.1:exon6:c.C535T:p.R179C,GHR:uc021xxx.1:exon6:c.C535T:p.R179C,GHR:uc021xxy.1:exon6:c.C535T:p.R179C,GHR:uc021xxz.1:exon6:c.C535T:p.R179C,GHR:uc003jmu.3:exon7:c.C535T:p.R179C,GHR:uc003jmv.2:exon7:c.C535T:p.R179C;GHR:ENST00000357703.6_1:exon4:c.C469T:p.R157C,GHR:ENST00000622294.2_1:exon5:c.C535T:p.R179C,GHR:ENST00000230882.9_7:exon6:c.C535T:p.R179C,GHR:ENST00000537449.5_5:exon6:c.C535T:p.R179C,GHR:ENST00000612382.4_5:exon6:c.C535T:p.R179C,GHR:ENST00000612626.4_5:exon6:c.C535T:p.R179C,GHR:ENST00000618088.4_5:exon6:c.C535T:p.R179C,GHR:ENST00000620156.4_3:exon6:c.C556T:p.R186C,GHR:ENST00000615111.4_5:exon7:c.C535T:p.R179C</t>
  </si>
  <si>
    <t xml:space="preserve">Benign</t>
  </si>
  <si>
    <t xml:space="preserve">Conflicting_interpretations_of_pathogenicity</t>
  </si>
  <si>
    <t xml:space="preserve">0.000232177140704853</t>
  </si>
  <si>
    <t xml:space="preserve">growth hormone receptor</t>
  </si>
  <si>
    <t xml:space="preserve">FUNCTION: Receptor for pituitary gland growth hormone involved in regulating postnatal body growth. On ligand binding, couples to the JAK2/STAT5 pathway (By similarity). {ECO:0000250}.; FUNCTION: Isoform 2 up-regulates the production of GHBP and acts as a negative inhibitor of GH signaling.; </t>
  </si>
  <si>
    <t xml:space="preserve">DISEASE: Laron syndrome (LARS) [MIM:262500]: A severe form of growth hormone insensitivity characterized by growth impairment, short stature, dysfunctional growth hormone receptor, and failure to generate insulin-like growth factor I in response to growth hormone. {ECO:0000269|PubMed:10870033, ECO:0000269|PubMed:14678285, ECO:0000269|PubMed:2779634, ECO:0000269|PubMed:8137822, ECO:0000269|PubMed:8421103, ECO:0000269|PubMed:8504296, ECO:0000269|PubMed:9024232, ECO:0000269|PubMed:9661642, ECO:0000269|PubMed:9851797}. Note=The disease is caused by mutations affecting the gene represented in this entry.; DISEASE: Growth hormone insensitivity, partial (GHIP) [MIM:604271]: A disease characterized by partial resistance to growth hormone resulting in short stature. Short stature is defined by a standing height more than 2 standard deviations below the mean (or below the 2.5 percentile) for sex and chronological age, compared with a well-nourished, healthy, genetically relevant population. {ECO:0000269|PubMed:7565946}. Note=The disease is caused by mutations affecting the gene represented in this entry.; </t>
  </si>
  <si>
    <t xml:space="preserve">742.64</t>
  </si>
  <si>
    <t xml:space="preserve">60</t>
  </si>
  <si>
    <t xml:space="preserve">35,25</t>
  </si>
  <si>
    <t xml:space="preserve">CM140609</t>
  </si>
  <si>
    <t xml:space="preserve">USH2A:NM_206933:exon71:c.G15433A:p.V5145I;USH2A:uc001hku.1:exon71:c.G15433A:p.V5145I;USH2A:ENST00000307340.8_10:exon71:c.G15433A:p.V5145I,USH2A:ENST00000674083.1_5:exon72:c.G15505A:p.V5169I</t>
  </si>
  <si>
    <t xml:space="preserve">6/10</t>
  </si>
  <si>
    <t xml:space="preserve">Likely benign</t>
  </si>
  <si>
    <t xml:space="preserve">3.68100336207458e-43</t>
  </si>
  <si>
    <t xml:space="preserve">Usher syndrome 2A (autosomal recessive, mild)</t>
  </si>
  <si>
    <t xml:space="preserve">FUNCTION: Involved in hearing and vision.; </t>
  </si>
  <si>
    <t xml:space="preserve">DISEASE: Usher syndrome 2A (USH2A) [MIM:276901]: USH is a genetically heterogeneous condition characterized by the association of retinitis pigmentosa with sensorineural deafness. Age at onset and differences in auditory and vestibular function distinguish Usher syndrome type 1 (USH1), Usher syndrome type 2 (USH2) and Usher syndrome type 3 (USH3). USH2 is characterized by congenital mild hearing impairment with normal vestibular responses. {ECO:0000269|PubMed:10729113, ECO:0000269|PubMed:10738000, ECO:0000269|PubMed:10909849, ECO:0000269|PubMed:11311042, ECO:0000269|PubMed:12112664, ECO:0000269|PubMed:12525556, ECO:0000269|PubMed:14970843, ECO:0000269|PubMed:15015129, ECO:0000269|PubMed:15025721, ECO:0000269|PubMed:15241801, ECO:0000269|PubMed:15325563, ECO:0000269|PubMed:17085681, ECO:0000269|PubMed:17405132, ECO:0000269|PubMed:18273898, ECO:0000269|PubMed:18452394, ECO:0000269|PubMed:19683999, ECO:0000269|PubMed:19737284, ECO:0000269|PubMed:20309401, ECO:0000269|PubMed:20440071, ECO:0000269|PubMed:20507924, ECO:0000269|PubMed:21593743, ECO:0000269|PubMed:21686329, ECO:0000269|PubMed:22004887, ECO:0000269|PubMed:23737954, ECO:0000269|PubMed:9624053}. Note=The disease is caused by mutations affecting the gene represented in this entry.; DISEASE: Retinitis pigmentosa 39 (RP39) [MIM:613809]: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{ECO:0000269|PubMed:10775529, ECO:0000269|PubMed:12112664, ECO:0000269|PubMed:12427073, ECO:0000269|PubMed:15325563, ECO:0000269|PubMed:16098008, ECO:0000269|PubMed:17296898, ECO:0000269|PubMed:20507924, ECO:0000269|PubMed:21686329, ECO:0000269|PubMed:22334370, ECO:0000269|PubMed:24227914}. Note=The disease is caused by mutations affecting the gene represented in this entry.; </t>
  </si>
  <si>
    <t xml:space="preserve">265.64</t>
  </si>
  <si>
    <t xml:space="preserve">23</t>
  </si>
  <si>
    <t xml:space="preserve">15,8</t>
  </si>
  <si>
    <t xml:space="preserve">CM134064</t>
  </si>
  <si>
    <t xml:space="preserve">MYO1E:NM_004998:exon15:c.C1593G:p.I531M;MYO1E:uc002aga.4:exon15:c.C1593G:p.I531M;MYO1E:ENST00000288235.9_5:exon15:c.C1593G:p.I531M</t>
  </si>
  <si>
    <t xml:space="preserve">8/10</t>
  </si>
  <si>
    <t xml:space="preserve">1/7</t>
  </si>
  <si>
    <t xml:space="preserve">0.0479778930717418</t>
  </si>
  <si>
    <t xml:space="preserve">myosin IE</t>
  </si>
  <si>
    <t xml:space="preserve">FUNCTION: Myosins are actin-based motor molecules with ATPase activity. Unconventional myosins serve in intracellular movements. Their highly divergent tails bind to membranous compartments, which are then moved relative to actin filaments. Binds to membranes containing anionic phospholipids via its tail domain. Required for normal morphology of the glomerular basement membrane, normal development of foot processes by kidney podocytes and normal kidney function. In dendritic cells, may control the movement of class II-containing cytoplasmic vesicles along the actin cytoskeleton by connecting them with the actin network via ARL14EP and ARL14. {ECO:0000269|PubMed:11940582, ECO:0000269|PubMed:17257598, ECO:0000269|PubMed:20860408}.; </t>
  </si>
  <si>
    <t xml:space="preserve">chr9</t>
  </si>
  <si>
    <t xml:space="preserve">1022.64</t>
  </si>
  <si>
    <t xml:space="preserve">61</t>
  </si>
  <si>
    <t xml:space="preserve">28,33</t>
  </si>
  <si>
    <t xml:space="preserve">CM132769</t>
  </si>
  <si>
    <t xml:space="preserve">GSN:NM_000177:exon13:c.A1790G:p.K597R,GSN:NM_001127662:exon13:c.A1637G:p.K546R,GSN:NM_001258029:exon13:c.A1688G:p.K563R,GSN:NM_001258030:exon13:c.A1661G:p.K554R,GSN:NM_001353078:exon13:c.A983G:p.K328R,GSN:NM_001353055:exon14:c.A1637G:p.K546R,GSN:NM_001353057:exon14:c.A1637G:p.K546R,GSN:NM_001353062:exon14:c.A1637G:p.K546R,GSN:NM_001353063:exon14:c.A1670G:p.K557R,GSN:NM_001353067:exon14:c.A1670G:p.K557R,GSN:NM_001353075:exon14:c.A1670G:p.K557R,GSN:NM_001353077:exon14:c.A1670G:p.K557R,GSN:NM_198252:exon14:c.A1637G:p.K546R,GSN:NM_001127663:exon15:c.A1745G:p.K582R,GSN:NM_001127664:exon15:c.A1637G:p.K546R,GSN:NM_001127665:exon15:c.A1637G:p.K546R,GSN:NM_001127666:exon15:c.A1670G:p.K557R,GSN:NM_001127667:exon15:c.A1670G:p.K557R,GSN:NM_001353056:exon15:c.A1637G:p.K546R,GSN:NM_001353058:exon15:c.A1637G:p.K546R,GSN:NM_001353059:exon15:c.A1637G:p.K546R,GSN:NM_001353060:exon15:c.A1637G:p.K546R,GSN:NM_001353061:exon15:c.A1637G:p.K546R,GSN:NM_001353070:exon15:c.A1670G:p.K557R,GSN:NM_001353076:exon15:c.A1709G:p.K570R,GSN:NM_001353064:exon16:c.A1670G:p.K557R,GSN:NM_001353065:exon16:c.A1670G:p.K557R,GSN:NM_001353066:exon16:c.A1670G:p.K557R,GSN:NM_001353068:exon16:c.A1670G:p.K557R,GSN:NM_001353069:exon16:c.A1670G:p.K557R,GSN:NM_001353071:exon16:c.A1670G:p.K557R,GSN:NM_001353072:exon16:c.A1670G:p.K557R,GSN:NM_001353074:exon16:c.A1670G:p.K557R,GSN:NM_001353073:exon17:c.A1670G:p.K557R,GSN:NM_001353053:exon22:c.A1637G:p.K546R,GSN:NM_001353054:exon22:c.A1637G:p.K546R;GSN:uc004blg.1:exon9:c.A983G:p.K328R,GSN:uc011lyj.1:exon12:c.A1709G:p.K570R,GSN:uc004blf.1:exon13:c.A1790G:p.K597R,GSN:uc010mvv.1:exon13:c.A1637G:p.K546R,GSN:uc011lyh.2:exon13:c.A1688G:p.K563R,GSN:uc011lyi.2:exon13:c.A1661G:p.K554R,GSN:uc004ble.1:exon14:c.A1637G:p.K546R,GSN:uc010mvq.1:exon15:c.A1670G:p.K557R,GSN:uc010mvr.1:exon15:c.A1670G:p.K557R,GSN:uc010mvs.1:exon15:c.A1637G:p.K546R,GSN:uc010mvt.1:exon15:c.A1637G:p.K546R,GSN:uc010mvu.2:exon15:c.A1745G:p.K582R,GSN:uc004bld.1:exon22:c.A1637G:p.K546R;GSN:ENST00000373818.8_7:exon13:c.A1790G:p.K597R,GSN:ENST00000394353.7_5:exon13:c.A1688G:p.K563R,GSN:ENST00000545652.6_5:exon13:c.A1661G:p.K554R,GSN:ENST00000432226.7_10:exon14:c.A1637G:p.K546R,GSN:ENST00000699558.1_1:exon14:c.A1709G:p.K570R,GSN:ENST00000373808.8_3:exon15:c.A1670G:p.K557R,GSN:ENST00000449733.7_3:exon15:c.A1745G:p.K582R,GSN:ENST00000373823.7_7:exon21:c.A1637G:p.K546R</t>
  </si>
  <si>
    <t xml:space="preserve">4/10</t>
  </si>
  <si>
    <t xml:space="preserve">3.18617651517055e-06</t>
  </si>
  <si>
    <t xml:space="preserve">gelsolin</t>
  </si>
  <si>
    <t xml:space="preserve">FUNCTION: Calcium-regulated, actin-modulating protein that binds to the plus (or barbed) ends of actin monomers or filaments, preventing monomer exchange (end-blocking or capping). It can promote the assembly of monomers into filaments (nucleation) as well as sever filaments already formed. Plays a role in ciliogenesis. {ECO:0000269|PubMed:20393563}.; </t>
  </si>
  <si>
    <t xml:space="preserve">DISEASE: Amyloidosis 5 (AMYL5) [MIM:105120]: A hereditary generalized amyloidosis due to gelsolin amyloid deposition. It is typically characterized by cranial neuropathy and lattice corneal dystrophy. Most patients have modest involvement of internal organs, but severe systemic disease can develop in some individuals causing peripheral polyneuropathy, amyloid cardiomyopathy, and nephrotic syndrome leading to renal failure. {ECO:0000269|PubMed:1338910, ECO:0000269|PubMed:2176481}. Note=The disease is caused by mutations affecting the gene represented in this entry.; </t>
  </si>
  <si>
    <t xml:space="preserve">564.64</t>
  </si>
  <si>
    <t xml:space="preserve">54</t>
  </si>
  <si>
    <t xml:space="preserve">33,21</t>
  </si>
  <si>
    <t xml:space="preserve">CM0910932</t>
  </si>
  <si>
    <t xml:space="preserve">RYR2:NM_001035:exon28:c.C3407T:p.A1136V;RYR2:uc001hyl.1:exon28:c.C3407T:p.A1136V;RYR2:ENST00000366574.7_4:exon28:c.C3407T:p.A1136V</t>
  </si>
  <si>
    <t xml:space="preserve">3/10</t>
  </si>
  <si>
    <t xml:space="preserve">2/7</t>
  </si>
  <si>
    <t xml:space="preserve">0.999999934433848</t>
  </si>
  <si>
    <t xml:space="preserve">ryanodine receptor 2</t>
  </si>
  <si>
    <t xml:space="preserve">FUNCTION: Calcium channel that mediates the release of Ca(2+) from the sarcoplasmic reticulum into the cytoplasm and thereby plays a key role in triggering cardiac muscle contraction. Aberrant channel activation can lead to cardiac arrhythmia. In cardiac myocytes, calcium release is triggered by increased Ca(2+) levels due to activation of the L-type calcium channel CACNA1C. The calcium channel activity is modulated by formation of heterotetramers with RYR3. Required for cellular calcium ion homeostasis. Required for embryonic heart development. {ECO:0000269|PubMed:10830164, ECO:0000269|PubMed:20056922}.; </t>
  </si>
  <si>
    <t xml:space="preserve">DISEASE: Arrhythmogenic right ventricular dysplasia, familial, 2 (ARVD2) [MIM:600996]: A congenital heart disease characterized by infiltration of adipose and fibrous tissue into the right ventricle and loss of myocardial cells, resulting in ventricular and supraventricular arrhythmias. {ECO:0000269|PubMed:11159936}. Note=The disease is caused by mutations affecting the gene represented in this entry.; DISEASE: Ventricular tachycardia, catecholaminergic polymorphic, 1, with or without atrial dysfunction and/or dilated cardiomyopathy (CPVT1) [MIM:604772]: An arrhythmogenic disorder characterized by stress-induced, bidirectional ventricular tachycardia that may degenerate into cardiac arrest and cause sudden death. Patients present with recurrent syncope, seizures, or sudden death after physical activity or emotional stress. {ECO:0000269|PubMed:11157710, ECO:0000269|PubMed:12093772, ECO:0000269|PubMed:12106942, ECO:0000269|PubMed:15046072, ECO:0000269|PubMed:15046073, ECO:0000269|PubMed:15466642, ECO:0000269|PubMed:15544015}. Note=The disease is caused by mutations affecting the gene represented in this entry.; </t>
  </si>
  <si>
    <t xml:space="preserve">chr6</t>
  </si>
  <si>
    <t xml:space="preserve">1299.64</t>
  </si>
  <si>
    <t xml:space="preserve">85</t>
  </si>
  <si>
    <t xml:space="preserve">49,36</t>
  </si>
  <si>
    <t xml:space="preserve">CM031183</t>
  </si>
  <si>
    <t xml:space="preserve">GABBR1:NM_021903:exon7:c.G1114A:p.G372S,GABBR1:NM_021904:exon11:c.G1279A:p.G427S,GABBR1:NM_001319053:exon12:c.G934A:p.G312S,GABBR1:NM_001470:exon12:c.G1465A:p.G489S;GABBR1:uc003nmp.4:exon7:c.G1114A:p.G372S,GABBR1:uc003nms.4:exon7:c.G1114A:p.G372S,GABBR1:uc003nmu.4:exon11:c.G1279A:p.G427S,GABBR1:uc011dls.1:exon11:c.G1465A:p.G489S,GABBR1:uc003nmt.4:exon12:c.G1465A:p.G489S,GABBR1:uc011dlr.2:exon12:c.G934A:p.G312S;GABBR1:ENST00000355973.7_3:exon7:c.G1114A:p.G372S,GABBR1:ENST00000377012.8_3:exon7:c.G1114A:p.G372S,GABBR1:ENST00000376977.7_3:exon11:c.G1465A:p.G489S,GABBR1:ENST00000377016.8_3:exon11:c.G1279A:p.G427S,GABBR1:ENST00000377034.9_5:exon12:c.G1465A:p.G489S</t>
  </si>
  <si>
    <t xml:space="preserve">4/11</t>
  </si>
  <si>
    <t xml:space="preserve">Uncertain significance</t>
  </si>
  <si>
    <t xml:space="preserve">0.999969901472702</t>
  </si>
  <si>
    <t xml:space="preserve">gamma-aminobutyric acid type B receptor subunit 1</t>
  </si>
  <si>
    <t xml:space="preserve">FUNCTION: Component of a heterodimeric G-protein coupled receptor for GABA, formed by GABBR1 and GABBR2. Within the heterodimeric GABA receptor, only GABBR1 seems to bind agonists, while GABBR2 mediates coupling to G proteins. Ligand binding causes a conformation change that triggers signaling via guanine nucleotide-binding proteins (G proteins) and modulates the activity of down-stream effectors, such as adenylate cyclase. Signaling inhibits adenylate cyclase, stimulates phospholipase A2, activates potassium channels, inactivates voltage-dependent calcium-channels and modulates inositol phospholipid hydrolysis. Calcium is required for high affinity binding to GABA. Plays a critical role in the fine-tuning of inhibitory synaptic transmission. Pre-synaptic GABA receptor inhibits neurotransmitter release by down-regulating high-voltage activated calcium channels, whereas postsynaptic GABA receptor decreases neuronal excitability by activating a prominent inwardly rectifying potassium (Kir) conductance that underlies the late inhibitory postsynaptic potentials. Not only implicated in synaptic inhibition but also in hippocampal long-term potentiation, slow wave sleep, muscle relaxation and antinociception. Activated by (-)-baclofen, cgp27492 and blocked by phaclofen.; </t>
  </si>
  <si>
    <t xml:space="preserve">MHC</t>
  </si>
  <si>
    <t xml:space="preserve">chr13</t>
  </si>
  <si>
    <t xml:space="preserve">33.64</t>
  </si>
  <si>
    <t xml:space="preserve">13</t>
  </si>
  <si>
    <t xml:space="preserve">11,2</t>
  </si>
  <si>
    <t xml:space="preserve">CM022330</t>
  </si>
  <si>
    <t xml:space="preserve">BRCA2:NM_000059:exon11:c.G4585A:p.G1529R;BRCA2:uc001uub.1:exon11:c.G4585A:p.G1529R;BRCA2:ENST00000380152.8_3:exon11:c.G4585A:p.G1529R,BRCA2:ENST00000544455.6_2:exon11:c.G4585A:p.G1529R</t>
  </si>
  <si>
    <t xml:space="preserve">10/11</t>
  </si>
  <si>
    <t xml:space="preserve">5/7</t>
  </si>
  <si>
    <t xml:space="preserve">2.21312120661867e-15</t>
  </si>
  <si>
    <t xml:space="preserve">breast cancer 2</t>
  </si>
  <si>
    <t xml:space="preserve">FUNCTION: Involved in double-strand break repair and/or homologous recombination. Binds RAD51 and potentiates recombinational DNA repair by promoting assembly of RAD51 onto single-stranded DNA (ssDNA). Acts by targeting RAD51 to ssDNA over double-stranded DNA, enabling RAD51 to displace replication protein-A (RPA) from ssDNA and stabilizing RAD51-ssDNA filaments by blocking ATP hydrolysis. Part of a PALB2-scaffolded HR complex containing RAD51C and which is thought to play a role in DNA repair by HR. May participate in S phase checkpoint activation. Binds selectively to ssDNA, and to ssDNA in tailed duplexes and replication fork structures. May play a role in the extension step after strand invasion at replication-dependent DNA double-strand breaks; together with PALB2 is involved in both POLH localization at collapsed replication forks and DNA polymerization activity. In concert with NPM1, regulates centrosome duplication. Interacts with the TREX-2 complex (transcription and export complex 2) subunits PCID2 and SHFM1/DSS1, and is required to prevent R-loop- associated DNA damage and thus transcription-associated genomic instability. Silencing of BRCA2 promotes R-loop accumulation at actively transcribed genes in replicating and non-replicating cells, suggesting that BRCA2 mediates the control of R-loop associated genomic instability, independently of its known role in homologous recombination (PubMed:24896180). {ECO:0000269|PubMed:15115758, ECO:0000269|PubMed:15199141, ECO:0000269|PubMed:15671039, ECO:0000269|PubMed:18317453, ECO:0000269|PubMed:20729832, ECO:0000269|PubMed:20729858, ECO:0000269|PubMed:20729859, ECO:0000269|PubMed:21084279, ECO:0000269|PubMed:24485656, ECO:0000269|PubMed:24896180}.; </t>
  </si>
  <si>
    <t xml:space="preserve">DISEASE: Breast cancer (BC) [MIM:114480]: A common malignancy originating from breast epithelial tissue. Breast neoplasms can be distinguished by their histologic pattern. Invasive ductal carcinoma is by far the most common type. Breast cancer is etiologically and genetically heterogeneous. Important genetic factors have been indicated by familial occurrence and bilateral involvement. Mutations at more than one locus can be involved in different families or even in the same case. {ECO:0000269|PubMed:10399947, ECO:0000269|PubMed:10978364, ECO:0000269|PubMed:11139248, ECO:0000269|PubMed:11241844, ECO:0000269|PubMed:11948477, ECO:0000269|PubMed:12145750, ECO:0000269|PubMed:12373604, ECO:0000269|PubMed:12442274, ECO:0000269|PubMed:12442275, ECO:0000269|PubMed:12938098, ECO:0000269|PubMed:14722926, ECO:0000269|PubMed:15026808, ECO:0000269|PubMed:15172753, ECO:0000269|PubMed:15365993, ECO:0000269|PubMed:8640237, ECO:0000269|PubMed:9150152, ECO:0000269|PubMed:9609997, ECO:0000269|PubMed:9654203, ECO:0000269|PubMed:9971877}. Note=Disease susceptibility is associated with variations affecting the gene represented in this entry.; DISEASE: Pancreatic cancer 2 (PNCA2) [MIM:613347]: A malignant neoplasm of the pancreas. Tumors can arise from both the exocrine and endocrine portions of the pancreas, but 95% of them develop from the exocrine portion, including the ductal epithelium, acinar cells, connective tissue, and lymphatic tissue. {ECO:0000269|PubMed:9140390}. Note=The disease is caused by mutations affecting the gene represented in this entry.; DISEASE: Breast-ovarian cancer, familial, 2 (BROVCA2) [MIM:612555]: A condition associated with familial predisposition to cancer of the breast and ovaries. Characteristic features in affected families are an early age of onset of breast cancer (often before age 50), increased chance of bilateral cancers (cancer that develop in both breasts, or both ovaries, independently), frequent occurrence of breast cancer among men, increased incidence of tumors of other specific organs, such as the prostate. Note=Disease susceptibility is associated with variations affecting the gene represented in this entry.; DISEASE: Fanconi anemia complementation group D1 (FANCD1) [MIM:605724]: A disorder affecting all bone marrow elements and resulting in anemia, leukopenia and thrombopenia. It is associated with cardiac, renal and limb malformations, dermal pigmentary changes, and a predisposition to the development of malignancies. At the cellular level it is associated with hypersensitivity to DNA-damaging agents, chromosomal instability (increased chromosome breakage) and defective DNA repair. {ECO:0000269|PubMed:12065746, ECO:0000269|PubMed:14670928, ECO:0000269|PubMed:16825431}. Note=The disease is caused by mutations affecting the gene represented in this entry.; DISEASE: Glioma 3 (GLM3) [MIM:613029]: Gliomas are benign or malignant central nervous system neoplasms derived from glial cells. They comprise astrocytomas and glioblastoma multiforme that are derived from astrocytes, oligodendrogliomas derived from oligodendrocytes and ependymomas derived from ependymocytes. {ECO:0000269|PubMed:15689453}. Note=The disease is caused by mutations affecting the gene represented in this entry.; </t>
  </si>
  <si>
    <t xml:space="preserve">chr20</t>
  </si>
  <si>
    <t xml:space="preserve">1126.64</t>
  </si>
  <si>
    <t xml:space="preserve">76</t>
  </si>
  <si>
    <t xml:space="preserve">35,41</t>
  </si>
  <si>
    <t xml:space="preserve">CM020985;CM083795</t>
  </si>
  <si>
    <t xml:space="preserve">VSX1:NM_001256271:exon2:c.G479A:p.G160D,VSX1:NM_001256272:exon2:c.G479A:p.G160D,VSX1:NM_014588:exon2:c.G479A:p.G160D,VSX1:NM_199425:exon2:c.G479A:p.G160D;VSX1:uc002wuf.4:exon2:c.G479A:p.G160D,VSX1:uc002wug.2:exon2:c.G479A:p.G160D,VSX1:uc010gdd.3:exon2:c.G479A:p.G160D,VSX1:uc010gdf.3:exon2:c.G479A:p.G160D;VSX1:ENST00000376707.4_3:exon2:c.G479A:p.G160D,VSX1:ENST00000376709.9_7:exon2:c.G479A:p.G160D,VSX1:ENST00000429762.7_5:exon2:c.G479A:p.G160D,VSX1:ENST00000444511.6_3:exon2:c.G479A:p.G160D</t>
  </si>
  <si>
    <t xml:space="preserve">6/11</t>
  </si>
  <si>
    <t xml:space="preserve">0.00659973339577821</t>
  </si>
  <si>
    <t xml:space="preserve">visual system homeobox 1</t>
  </si>
  <si>
    <t xml:space="preserve">FUNCTION: Binds to the 37-bp core of the locus control region (LCR) of the red/green visual pigment gene cluster. May regulate the activity of the LCR and the cone opsin genes at earlier stages of development.; </t>
  </si>
  <si>
    <t xml:space="preserve">DISEASE: Keratoconus 1 (KTCN1) [MIM:148300]: Frequent corneal dystrophy with an incidence that varies from 50 to 230 per 100'000. The cornea assumes a conical shape as a result of a progressive non-inflammatory thinning of the corneal stroma. Keratoconus is most often an isolated sporadic condition with cases of autosomal dominant and autosomal recessive transmission. {ECO:0000269|PubMed:11978762, ECO:0000269|PubMed:15623752, ECO:0000269|PubMed:19956409}. Note=The disease is caused by mutations affecting the gene represented in this entry.; DISEASE: Craniofacial anomalies and anterior segment dysgenesis syndrome (CAASDS) [MIM:614195]: A disorder with extremely variable expressivity. Clinical features include wide interpupillary distance, abnormal corneal endothelium, unusual pinnae, partially to completely empty sella turcica, posterior fossa cyst, anterior encephalocele, and/or hydrocephalus. {ECO:0000269|PubMed:15051220}. Note=The disease is caused by mutations affecting the gene represented in this entry.; </t>
  </si>
  <si>
    <t xml:space="preserve">chr10</t>
  </si>
  <si>
    <t xml:space="preserve">-</t>
  </si>
  <si>
    <t xml:space="preserve">AA</t>
  </si>
  <si>
    <t xml:space="preserve">535.02</t>
  </si>
  <si>
    <t xml:space="preserve">3,10,7</t>
  </si>
  <si>
    <t xml:space="preserve">CD127320</t>
  </si>
  <si>
    <t xml:space="preserve">splicing</t>
  </si>
  <si>
    <t xml:space="preserve">NM_001015880:exon3:c.381+2-&gt;AA;NM_004670:exon3:c.381+2-&gt;AA;uc001kew.3:exon3:c.381+2-&gt;AA;uc001kex.3:exon3:c.381+2-&gt;AA;ENST00000361175.8_8:exon3:c.381+2-&gt;AA;ENST00000456849.2_6:exon3:c.381+2-&gt;AA</t>
  </si>
  <si>
    <t xml:space="preserve">1/2</t>
  </si>
  <si>
    <t xml:space="preserve">2.50259228647192e-07</t>
  </si>
  <si>
    <t xml:space="preserve">3'-phosphoadenosine 5'-phosphosulfate synthase 2</t>
  </si>
  <si>
    <t xml:space="preserve">FUNCTION: Bifunctional enzyme with both ATP sulfurylase and APS kinase activity, which mediates two steps in the sulfate activation pathway. The first step is the transfer of a sulfate group to ATP to yield adenosine 5'-phosphosulfate (APS), and the second step is the transfer of a phosphate group from ATP to APS yielding 3'-phosphoadenylylsulfate (PAPS: activated sulfate donor used by sulfotransferase). In mammals, PAPS is the sole source of sulfate; APS appears to be only an intermediate in the sulfate- activation pathway. May have a important role in skeletogenesis during postnatal growth (By similarity). {ECO:0000250}.; </t>
  </si>
  <si>
    <t xml:space="preserve">975.64</t>
  </si>
  <si>
    <t xml:space="preserve">72</t>
  </si>
  <si>
    <t xml:space="preserve">43,29</t>
  </si>
  <si>
    <t xml:space="preserve">C1orf167:NM_001010881:exon17:c.G3641A:p.R1214Q;C1orf167:uc001ata.3:exon5:c.G809A:p.R270Q,C1orf167:uc001asz.3:exon10:c.G1544A:p.R515Q;C1orf167:ENST00000433342.6_4:exon17:c.G3155A:p.R1052Q,C1orf167:ENST00000688073.1_3:exon17:c.G3641A:p.R1214Q</t>
  </si>
  <si>
    <t xml:space="preserve">3/11</t>
  </si>
  <si>
    <t xml:space="preserve">Uncertain_significance</t>
  </si>
  <si>
    <t xml:space="preserve">0.155526802173754</t>
  </si>
  <si>
    <t xml:space="preserve">chromosome 1 open reading frame 167</t>
  </si>
  <si>
    <t xml:space="preserve">557.64</t>
  </si>
  <si>
    <t xml:space="preserve">64</t>
  </si>
  <si>
    <t xml:space="preserve">43,21</t>
  </si>
  <si>
    <t xml:space="preserve">HSPG2:NM_001291860:exon69:c.G9082A:p.D3028N,HSPG2:NM_005529:exon69:c.G9079A:p.D3027N;HSPG2:uc001bfj.3:exon69:c.G9079A:p.D3027N,HSPG2:uc009vqd.3:exon69:c.G9082A:p.D3028N;HSPG2:ENST00000374695.8_5:exon69:c.G9079A:p.D3027N</t>
  </si>
  <si>
    <t xml:space="preserve">6.94653656591348e-06</t>
  </si>
  <si>
    <t xml:space="preserve">heparan sulfate proteoglycan 2</t>
  </si>
  <si>
    <t xml:space="preserve">FUNCTION: Integral component of basement membranes. Component of the glomerular basement membrane (GBM), responsible for the fixed negative electrostatic membrane charge, and which provides a barrier which is both size- and charge-selective. It serves as an attachment substrate for cells. Plays essential roles in vascularization. Critical for normal heart development and for regulating the vascular response to injury. Also required for avascular cartilage development.; FUNCTION: The LG3 peptide has anti-angiogenic properties that require binding of calcium ions for full activity.; </t>
  </si>
  <si>
    <t xml:space="preserve">DISEASE: Schwartz-Jampel syndrome (SJS1) [MIM:255800]: Rare autosomal recessive disorder characterized by permanent myotonia (prolonged failure of muscle relaxation) and skeletal dysplasia, resulting in reduced stature, kyphoscoliosis, bowing of the diaphyses and irregular epiphyses. {ECO:0000269|PubMed:11101850}. Note=The disease is caused by mutations affecting the gene represented in this entry.; DISEASE: Dyssegmental dysplasia Silverman-Handmaker type (DDSH) [MIM:224410]: The dyssegmental dysplasias are rare, autosomal recessive skeletal dysplasias with anisospondyly and micromelia. There are two recognized types: the severe, lethal DDSH and the milder Rolland-Desbuquois form. Individuals with DDSH also have a flat face, micrognathia, cleft palate and reduced joint mobility, and frequently have an encephalocoele. The endochondral growth plate is short, the calcospherites (which are spherical calcium- phosphorus crystals produced by hypertrophic chondrocytes) are unfused, and there is mucoid degeneration of the resting cartilage. {ECO:0000269|PubMed:11279527}. Note=The disease is caused by mutations affecting the gene represented in this entry.; </t>
  </si>
  <si>
    <t xml:space="preserve">411.64</t>
  </si>
  <si>
    <t xml:space="preserve">19,16</t>
  </si>
  <si>
    <t xml:space="preserve">SLC25A22:NM_001191060:exon7:c.C506T:p.T169M,SLC25A22:NM_001191061:exon7:c.C506T:p.T169M,SLC25A22:NM_024698:exon7:c.C506T:p.T169M;SLC25A22:uc001lri.3:exon7:c.C506T:p.T169M,SLC25A22:uc001lrj.3:exon7:c.C506T:p.T169M,SLC25A22:uc009yci.3:exon7:c.C506T:p.T169M;SLC25A22:ENST00000320230.9_4:exon7:c.C506T:p.T169M,SLC25A22:ENST00000531214.5_3:exon7:c.C506T:p.T169M,SLC25A22:ENST00000628067.3_5:exon7:c.C506T:p.T169M</t>
  </si>
  <si>
    <t xml:space="preserve">7/11</t>
  </si>
  <si>
    <t xml:space="preserve">3/7</t>
  </si>
  <si>
    <t xml:space="preserve">0.568405564949865</t>
  </si>
  <si>
    <t xml:space="preserve">solute carrier family 25 member 22</t>
  </si>
  <si>
    <t xml:space="preserve">FUNCTION: Involved in the transport of glutamate across the inner mitochondrial membrane. Glutamate is cotransported with H(+). {ECO:0000269|PubMed:11897791}.; </t>
  </si>
  <si>
    <t xml:space="preserve">chr12</t>
  </si>
  <si>
    <t xml:space="preserve">830.64</t>
  </si>
  <si>
    <t xml:space="preserve">75</t>
  </si>
  <si>
    <t xml:space="preserve">41,34</t>
  </si>
  <si>
    <t xml:space="preserve">POLE:NM_006231:exon20:c.A2209G:p.T737A;POLE:uc009zyu.1:exon19:c.A2128G:p.T710A,POLE:uc001uks.1:exon20:c.A2209G:p.T737A;POLE:ENST00000535270.5_5:exon19:c.A2128G:p.T710A,POLE:ENST00000320574.10_6:exon20:c.A2209G:p.T737A</t>
  </si>
  <si>
    <t xml:space="preserve">7/7</t>
  </si>
  <si>
    <t xml:space="preserve">1.00660603240353e-14</t>
  </si>
  <si>
    <t xml:space="preserve">polymerase (DNA) epsilon, catalytic subunit</t>
  </si>
  <si>
    <t xml:space="preserve">FUNCTION: Participates in DNA repair and in chromosomal DNA replication.; </t>
  </si>
  <si>
    <t xml:space="preserve">DISEASE: Colorectal cancer 12 (CRCS12) [MIM:615083]: A complex disease characterized by malignant lesions arising from the inner wall of the large intestine (the colon) and the rectum. Genetic alterations are often associated with progression from premalignant lesion (adenoma) to invasive adenocarcinoma. Risk factors for cancer of the colon and rectum include colon polyps, long-standing ulcerative colitis, and genetic family history. CRCS12 is characterized by a high-penetrance predisposition to the development of colorectal adenomas and carcinomas, with a variable tendency to develop multiple and large tumors. Onset is usually before age 40 years. The histologic features of the tumors are unremarkable. {ECO:0000269|PubMed:23263490, ECO:0000269|PubMed:24501277}. Note=Disease susceptibility is associated with variations affecting the gene represented in this entry.; DISEASE: Facial dysmorphism, immunodeficiency, livedo, and short stature (FILS) [MIM:615139]: A syndrome characterized by mild facial dysmorphism, mainly malar hypoplasia, livedo on the skin since birth, and immunodeficiency resulting in recurrent infections. Growth impairment is observed during early childhood and results in variable short stature in adulthood. {ECO:0000269|PubMed:23230001}. Note=The disease is caused by mutations affecting the gene represented in this entry.; </t>
  </si>
  <si>
    <t xml:space="preserve">chr4</t>
  </si>
  <si>
    <t xml:space="preserve">87.64</t>
  </si>
  <si>
    <t xml:space="preserve">8,5</t>
  </si>
  <si>
    <t xml:space="preserve">FRAS1:NM_025074:exon72:c.C11264T:p.P3755L;FRAS1:uc003hlb.2:exon72:c.C11264T:p.P3755L;FRAS1:ENST00000512123.4_3:exon72:c.C11264T:p.P3755L</t>
  </si>
  <si>
    <t xml:space="preserve">7/8</t>
  </si>
  <si>
    <t xml:space="preserve">2.28997696302965e-23</t>
  </si>
  <si>
    <t xml:space="preserve">Fraser extracellular matrix complex subunit 1</t>
  </si>
  <si>
    <t xml:space="preserve">DISEASE: Fraser syndrome (FRASS) [MIM:219000]: Multisystem malformation usually comprising cryptophthalmos, cutaneous syndactyly, ear abnormalities, renal agenesis and congenital heart defects. {ECO:0000269|PubMed:23473829}. Note=The disease is caused by mutations affecting the gene represented in this entry.; </t>
  </si>
  <si>
    <t xml:space="preserve">chr7</t>
  </si>
  <si>
    <t xml:space="preserve">140.64</t>
  </si>
  <si>
    <t xml:space="preserve">7,6</t>
  </si>
  <si>
    <t xml:space="preserve">AKAP9:NM_001379277:exon28:c.A6194G:p.Y2065C,AKAP9:NM_005751:exon49:c.A11549G:p.Y3850C,AKAP9:NM_147185:exon49:c.A11525G:p.Y3842C;AKAP9:uc003ull.3:exon11:c.A2237G:p.Y746C,AKAP9:uc003ulj.3:exon23:c.A4859G:p.Y1620C,AKAP9:uc003uli.3:exon42:c.A10418G:p.Y3473C,AKAP9:uc003ulf.3:exon49:c.A11525G:p.Y3842C,AKAP9:uc003ulg.3:exon49:c.A11549G:p.Y3850C;AKAP9:ENST00000491695.2_5:exon28:c.A6194G:p.Y2065C,AKAP9:ENST00000680952.1_1:exon47:c.A11309G:p.Y3770C,AKAP9:ENST00000679521.1_1:exon48:c.A11495G:p.Y3832C,AKAP9:ENST00000679821.1_1:exon48:c.A11291G:p.Y3764C,AKAP9:ENST00000680072.1_1:exon48:c.A11372G:p.Y3791C,AKAP9:ENST00000680181.1_1:exon48:c.A11456G:p.Y3819C,AKAP9:ENST00000680513.1_1:exon48:c.A11408G:p.Y3803C,AKAP9:ENST00000356239.8_5:exon49:c.A11549G:p.Y3850C,AKAP9:ENST00000680766.1_1:exon49:c.A11525G:p.Y3842C,AKAP9:ENST00000681412.1_1:exon49:c.A11549G:p.Y3850C,AKAP9:ENST00000681722.1_3:exon49:c.A11525G:p.Y3842C,AKAP9:ENST00000359028.7_6:exon50:c.A11621G:p.Y3874C,AKAP9:ENST00000680534.1_3:exon50:c.A11588G:p.Y3863C</t>
  </si>
  <si>
    <t xml:space="preserve">5/11</t>
  </si>
  <si>
    <t xml:space="preserve">2.29354530903585e-05</t>
  </si>
  <si>
    <t xml:space="preserve">A-kinase anchoring protein 9</t>
  </si>
  <si>
    <t xml:space="preserve">FUNCTION: Scaffolding protein that assembles several protein kinases and phosphatases on the centrosome and Golgi apparatus. Required to maintain the integrity of the Golgi apparatus (PubMed:10202149, PubMed:15047863). Recruited to the Golgi apparatus by GM130/GOLGA2 and is required for microtubule nucleation at the cis-side of the Golgi apparatusGM130/GOLGA2. {ECO:0000269|PubMed:10202149, ECO:0000269|PubMed:15047863, ECO:0000269|PubMed:19242490}.; </t>
  </si>
  <si>
    <t xml:space="preserve">DISEASE: Long QT syndrome 11 (LQT11) [MIM:611820]: A heart disorder characterized by a prolonged QT interval on the ECG and polymorphic ventricular arrhythmias. They cause syncope and sudden death in response to exercise or emotional stress, and can present with a sentinel event of sudden cardiac death in infancy. {ECO:0000269|PubMed:18093912}. Note=The disease is caused by mutations affecting the gene represented in this entry.; </t>
  </si>
  <si>
    <t xml:space="preserve">696.64</t>
  </si>
  <si>
    <t xml:space="preserve">68</t>
  </si>
  <si>
    <t xml:space="preserve">42,26</t>
  </si>
  <si>
    <t xml:space="preserve">OBSCN:NM_001098623:exon47:c.G12638A:p.R4213H,OBSCN:NM_052843:exon47:c.G12638A:p.R4213H,OBSCN:NM_001271223:exon58:c.G15509A:p.R5170H;OBSCN:uc001hsn.4:exon47:c.G12638A:p.R4213H,OBSCN:uc009xez.2:exon47:c.G12638A:p.R4213H,OBSCN:uc001hsq.2:exon58:c.G15509A:p.R5170H;OBSCN:ENST00000636476.2_2:exon46:c.G12638A:p.R4213H,OBSCN:ENST00000284548.16_2:exon47:c.G12638A:p.R4213H,OBSCN:ENST00000422127.5_2:exon47:c.G12638A:p.R4213H,OBSCN:ENST00000662438.1_2:exon52:c.G14183A:p.R4728H,OBSCN:ENST00000570156.7_7:exon58:c.G15509A:p.R5170H,OBSCN:ENST00000680850.1_2:exon58:c.G15509A:p.R5170H</t>
  </si>
  <si>
    <t xml:space="preserve">Likely_benign</t>
  </si>
  <si>
    <t xml:space="preserve">5.35738960908037e-91</t>
  </si>
  <si>
    <t xml:space="preserve">obscurin, cytoskeletal calmodulin and titin-interacting RhoGEF</t>
  </si>
  <si>
    <t xml:space="preserve">FUNCTION: Involved in myofibrillogenesis. Seems to be involved in assembly of myosin into sarcomeric A bands in striated muscle. Isoform 3 together with ANK1 isoform Mu17/Ank1.5 may provide a molecular link between the sarcoplasmic reticulum and myofibrils. {ECO:0000269|PubMed:11448995, ECO:0000269|PubMed:16205939}.; </t>
  </si>
  <si>
    <t xml:space="preserve">DISEASE: Note=A chromosomal aberration involving OBSCN has been found in Wilms tumor. Translocation t(1;7)(q42;p15) with PTHB1. {ECO:0000269|PubMed:12618763}.; </t>
  </si>
  <si>
    <t xml:space="preserve">chr16</t>
  </si>
  <si>
    <t xml:space="preserve">1038.64</t>
  </si>
  <si>
    <t xml:space="preserve">88</t>
  </si>
  <si>
    <t xml:space="preserve">54,34</t>
  </si>
  <si>
    <t xml:space="preserve">SLC7A6OS:NM_032178:exon3:c.G649A:p.V217M;SLC7A6OS:uc002evw.2:exon3:c.G649A:p.V217M;SLC7A6OS:ENST00000263997.11_5:exon3:c.G649A:p.V217M</t>
  </si>
  <si>
    <t xml:space="preserve">0.807327025070433</t>
  </si>
  <si>
    <t xml:space="preserve">solute carrier family 7 member 6 opposite strand</t>
  </si>
  <si>
    <t xml:space="preserve">FUNCTION: Directs RNA polymerase II nuclear import. {ECO:0000250}.; </t>
  </si>
  <si>
    <t xml:space="preserve">chr17</t>
  </si>
  <si>
    <t xml:space="preserve">482.64</t>
  </si>
  <si>
    <t xml:space="preserve">29</t>
  </si>
  <si>
    <t xml:space="preserve">12,17</t>
  </si>
  <si>
    <t xml:space="preserve">NUFIP2:NM_020772:exon2:c.T826C:p.S276P;NUFIP2:uc002hdy.4:exon2:c.T826C:p.S276P;NUFIP2:ENST00000225388.9_5:exon2:c.T826C:p.S276P</t>
  </si>
  <si>
    <t xml:space="preserve">0.992086080094595</t>
  </si>
  <si>
    <t xml:space="preserve">nuclear fragile X mental retardation protein interacting protein 2</t>
  </si>
  <si>
    <t xml:space="preserve">FUNCTION: Binds RNA. {ECO:0000269|PubMed:12837692}.; </t>
  </si>
  <si>
    <t xml:space="preserve">346.64</t>
  </si>
  <si>
    <t xml:space="preserve">28</t>
  </si>
  <si>
    <t xml:space="preserve">17,11</t>
  </si>
  <si>
    <t xml:space="preserve">GALR2:NM_003857:exon2:c.G746T:p.W249L;GALR2:uc002jqm.1:exon2:c.G746T:p.W249L;GALR2:ENST00000329003.4_3:exon2:c.G746T:p.W249L</t>
  </si>
  <si>
    <t xml:space="preserve">9/11</t>
  </si>
  <si>
    <t xml:space="preserve">0.00797093656746506</t>
  </si>
  <si>
    <t xml:space="preserve">galanin receptor 2</t>
  </si>
  <si>
    <t xml:space="preserve">FUNCTION: Receptor for the hormone galanin and GALP. Receptor for the hormone spexin-1 (PubMed:24517231). The activity of this receptor is mediated by G proteins that activate the phospholipase C/protein kinase C pathway (via G(q)) and that inhibit adenylyl cyclase (via G(i)). {ECO:0000269|PubMed:24517231, ECO:0000269|PubMed:25691535, ECO:0000269|PubMed:9480833, ECO:0000269|PubMed:9685625, ECO:0000269|PubMed:9832121, ECO:0000269|PubMed:9880084}.; </t>
  </si>
  <si>
    <t xml:space="preserve">745.64</t>
  </si>
  <si>
    <t xml:space="preserve">33,28</t>
  </si>
  <si>
    <t xml:space="preserve">ATF6B:NM_001136153:exon17:c.A1793T:p.H598L,ATF6B:NM_004381:exon17:c.A1802T:p.H601L;ATF6B:uc003nzm.1:exon6:c.A521T:p.H174L,ATF6B:uc003nzn.3:exon17:c.A1802T:p.H601L,ATF6B:uc003nzo.3:exon17:c.A1793T:p.H598L;ATF6B:ENST00000375201.8_6:exon17:c.A1793T:p.H598L,ATF6B:ENST00000375203.8_8:exon17:c.A1802T:p.H601L,ATF6B:ENST00000453203.2_7:exon17:c.A1825T:p.T609S</t>
  </si>
  <si>
    <t xml:space="preserve">1.6770144203098e-06</t>
  </si>
  <si>
    <t xml:space="preserve">activating transcription factor 6 beta</t>
  </si>
  <si>
    <t xml:space="preserve">FUNCTION: Transcriptional factor that acts in the unfolded protein response (UPR) pathway by activating UPR target genes induced during ER stress. Binds DNA on the 5'-CCAC[GA]-3' half of the ER stress response element (ERSE) (5'-CCAATN(9)CCAC[GA]-3') when NF-Y is bound to ERSE.; </t>
  </si>
  <si>
    <t xml:space="preserve">AlleleImbalance</t>
  </si>
  <si>
    <t xml:space="preserve">864.64</t>
  </si>
  <si>
    <t xml:space="preserve">31,30</t>
  </si>
  <si>
    <t xml:space="preserve">KIF1C:NM_006612:exon23:c.C2734T:p.R912W;KIF1C:uc002gan.2:exon23:c.C2734T:p.R912W;KIF1C:ENST00000320785.10_3:exon23:c.C2734T:p.R912W</t>
  </si>
  <si>
    <t xml:space="preserve">0.470778561371856</t>
  </si>
  <si>
    <t xml:space="preserve">kinesin family member 1C</t>
  </si>
  <si>
    <t xml:space="preserve">FUNCTION: Motor required for the retrograde transport of Golgi vesicles to the endoplasmic reticulum. Has a microtubule plus end- directed motility. {ECO:0000269|PubMed:9685376}.; </t>
  </si>
  <si>
    <t xml:space="preserve">DISEASE: Spastic ataxia 2, autosomal recessive (SPAX2) [MIM:611302]: A neurologic disorder characterized by cerebellar ataxia, dysarthria, and variable spasticity of the lower limbs. Cognition is not affected. {ECO:0000269|PubMed:24319291}. Note=The disease is caused by mutations affecting the gene represented in this entry.; </t>
  </si>
  <si>
    <t xml:space="preserve">chr3</t>
  </si>
  <si>
    <t xml:space="preserve">170.64</t>
  </si>
  <si>
    <t xml:space="preserve">11</t>
  </si>
  <si>
    <t xml:space="preserve">6,5</t>
  </si>
  <si>
    <t xml:space="preserve">GFM1:NM_001308164:exon2:c.A127G:p.N43D,GFM1:NM_001308166:exon2:c.A127G:p.N43D,GFM1:NM_001374355:exon2:c.A127G:p.N43D,GFM1:NM_001374356:exon2:c.A127G:p.N43D,GFM1:NM_001374358:exon2:c.A127G:p.N43D,GFM1:NM_024996:exon2:c.A127G:p.N43D;GFM1:uc003fcd.3:exon2:c.A127G:p.N43D,GFM1:uc003fce.3:exon2:c.A127G:p.N43D;GFM1:ENST00000264263.9_3:exon2:c.A127G:p.N43D,GFM1:ENST00000478576.5_2:exon2:c.A127G:p.N43D,GFM1:ENST00000486715.6_6:exon2:c.A127G:p.N43D</t>
  </si>
  <si>
    <t xml:space="preserve">5/10</t>
  </si>
  <si>
    <t xml:space="preserve">1.66398179768796e-06</t>
  </si>
  <si>
    <t xml:space="preserve">G elongation factor, mitochondrial 1</t>
  </si>
  <si>
    <t xml:space="preserve">FUNCTION: Mitochondrial GTPase that catalyzes the GTP-dependent ribosomal translocation step during translation elongation. During this step, the ribosome changes from the pre-translocational (PRE) to the post-translocational (POST) state as the newly formed A- site-bound peptidyl-tRNA and P-site-bound deacylated tRNA move to the P and E sites, respectively. Catalyzes the coordinated movement of the two tRNA molecules, the mRNA and conformational changes in the ribosome. Does not mediate the disassembly of ribosomes from messenger RNA at the termination of mitochondrial protein biosynthesis. {ECO:0000255|HAMAP-Rule:MF_03061, ECO:0000269|PubMed:19716793}.; </t>
  </si>
  <si>
    <t xml:space="preserve">DISEASE: Combined oxidative phosphorylation deficiency 1 (COXPD1) [MIM:609060]: A mitochondrial disease resulting in early rapidly progressive hepatoencephalopathy. {ECO:0000269|PubMed:15537906, ECO:0000269|PubMed:17160893}. Note=The disease is caused by mutations affecting the gene represented in this entry.; </t>
  </si>
  <si>
    <t xml:space="preserve">472.64</t>
  </si>
  <si>
    <t xml:space="preserve">38</t>
  </si>
  <si>
    <t xml:space="preserve">21,17</t>
  </si>
  <si>
    <t xml:space="preserve">CUBN:NM_001081:exon59:c.G9340A:p.G3114S;CUBN:uc009xjr.1:exon11:c.G1408A:p.G470S,CUBN:uc001ioo.3:exon59:c.G9340A:p.G3114S;CUBN:ENST00000377833.10_5:exon59:c.G9340A:p.G3114S</t>
  </si>
  <si>
    <t xml:space="preserve">7/10</t>
  </si>
  <si>
    <t xml:space="preserve">3.03432572949695e-28</t>
  </si>
  <si>
    <t xml:space="preserve">cubilin</t>
  </si>
  <si>
    <t xml:space="preserve">FUNCTION: Cotransporter which plays a role in lipoprotein, vitamin and iron metabolism, by facilitating their uptake. Binds to ALB, MB, Kappa and lambda-light chains, TF, hemoglobin, GC, SCGB1A1, APOA1, high density lipoprotein, and the GIF-cobalamin complex. The binding of all ligands requires calcium. Serves as important transporter in several absorptive epithelia, including intestine, renal proximal tubules and embryonic yolk sac. Interaction with LRP2 mediates its trafficking throughout vesicles and facilitates the uptake of specific ligands like GC, hemoglobin, ALB, TF and SCGB1A1. Interaction with AMN controls its trafficking to the plasma membrane and facilitates endocytosis of ligands. May play an important role in the development of the peri-implantation embryo through internalization of APOA1 and cholesterol. Binds to LGALS3 at the maternal-fetal interface. {ECO:0000269|PubMed:10371504, ECO:0000269|PubMed:11606717, ECO:0000269|PubMed:11717447, ECO:0000269|PubMed:14576052, ECO:0000269|PubMed:9572993}.; </t>
  </si>
  <si>
    <t xml:space="preserve">DISEASE: Recessive hereditary megaloblastic anemia 1 (RH-MGA1) [MIM:261100]: Due to selective malabsorption of vitamin B12. Defects in vitamin B12 absorption lead to impaired function of thymidine synthase. As a consequence DNA synthesis is interrupted. Rapidly dividing cells involved in erythropoiesis are particularly affected. {ECO:0000269|PubMed:10080186, ECO:0000269|PubMed:10887099}. Note=The disease is caused by mutations affecting the gene represented in this entry.; </t>
  </si>
  <si>
    <t xml:space="preserve">847.64</t>
  </si>
  <si>
    <t xml:space="preserve">28,30</t>
  </si>
  <si>
    <t xml:space="preserve">VWA2:NM_001272046:exon11:c.G1096A:p.V366M,VWA2:NM_001320804:exon11:c.G1096A:p.V366M;VWA2:uc009xyf.2:exon10:c.G184A:p.V62M,VWA2:uc031pxh.1:exon10:c.G1096A:p.V366M,VWA2:uc001lbk.2:exon11:c.G1096A:p.V366M,VWA2:uc001lbl.2:exon11:c.G1096A:p.V366M;VWA2:ENST00000603594.2_1:exon10:c.G184A:p.V62M,VWA2:ENST00000392982.8_3:exon11:c.G1096A:p.V366M</t>
  </si>
  <si>
    <t xml:space="preserve">2.57813515827879e-13</t>
  </si>
  <si>
    <t xml:space="preserve">von Willebrand factor A domain containing 2</t>
  </si>
  <si>
    <t xml:space="preserve">844.64</t>
  </si>
  <si>
    <t xml:space="preserve">32,32</t>
  </si>
  <si>
    <t xml:space="preserve">ENDOU:NM_001172440:exon4:c.G443A:p.R148Q,ENDOU:NM_006025:exon5:c.G509A:p.R170Q,ENDOU:NM_001172439:exon6:c.G632A:p.R211Q;ENDOU:uc010slm.2:exon4:c.G443A:p.R148Q,ENDOU:uc001rpt.2:exon5:c.G509A:p.R170Q,ENDOU:uc001rpu.2:exon6:c.G632A:p.R211Q;ENDOU:ENST00000545824.2_3:exon4:c.G443A:p.R148Q,ENDOU:ENST00000229003.7_3:exon5:c.G509A:p.R170Q,ENDOU:ENST00000422538.8_5:exon6:c.G632A:p.R211Q</t>
  </si>
  <si>
    <t xml:space="preserve">6.22319085378802e-12</t>
  </si>
  <si>
    <t xml:space="preserve">endonuclease, poly(U) specific</t>
  </si>
  <si>
    <t xml:space="preserve">FUNCTION: Endoribonuclease that cleaves single-stranded RNAs at uridylates and releases products that have 2'-3'-cyclic phosphate termini. {ECO:0000269|PubMed:18936097}.; </t>
  </si>
  <si>
    <t xml:space="preserve">743.64</t>
  </si>
  <si>
    <t xml:space="preserve">56</t>
  </si>
  <si>
    <t xml:space="preserve">28,28</t>
  </si>
  <si>
    <t xml:space="preserve">NTN4:NM_001329700:exon2:c.G74T:p.G25V,NTN4:NM_021229:exon2:c.G74T:p.G25V;NTN4:uc001tei.3:exon2:c.G74T:p.G25V,NTN4:uc009ztf.3:exon2:c.G74T:p.G25V;NTN4:ENST00000343702.9_5:exon2:c.G74T:p.G25V,NTN4:ENST00000553059.1_4:exon2:c.G74T:p.G25V,NTN4:ENST00000674345.1_2:exon2:c.G74T:p.G25V</t>
  </si>
  <si>
    <t xml:space="preserve">0.994426784918463</t>
  </si>
  <si>
    <t xml:space="preserve">netrin 4</t>
  </si>
  <si>
    <t xml:space="preserve">FUNCTION: May play an important role in neural, kidney and vascular development. Promotes neurite elongation from olfactory bulb explants. {ECO:0000269|PubMed:11038171}.; </t>
  </si>
  <si>
    <t xml:space="preserve">chr14</t>
  </si>
  <si>
    <t xml:space="preserve">337.64</t>
  </si>
  <si>
    <t xml:space="preserve">32</t>
  </si>
  <si>
    <t xml:space="preserve">21,11</t>
  </si>
  <si>
    <t xml:space="preserve">NID2:NM_007361:exon5:c.C1424T:p.T475I;NID2:uc001wzo.3:exon5:c.C1424T:p.T475I,NID2:uc001wzp.3:exon5:c.C1424T:p.T475I,NID2:uc010tqs.2:exon5:c.C1424T:p.T475I,NID2:uc010tqt.1:exon5:c.C1424T:p.T475I;NID2:ENST00000216286.10_6:exon5:c.C1424T:p.T475I</t>
  </si>
  <si>
    <t xml:space="preserve">6.95346797158758e-07</t>
  </si>
  <si>
    <t xml:space="preserve">nidogen 2</t>
  </si>
  <si>
    <t xml:space="preserve">FUNCTION: Cell adhesion glycoprotein which is widely distributed in basement membranes. Binds to collagens I and IV, to perlecan and to laminin 1. Does not bind fibulins. It probably has a role in cell-extracellular matrix interactions.; </t>
  </si>
  <si>
    <t xml:space="preserve">518.64</t>
  </si>
  <si>
    <t xml:space="preserve">41</t>
  </si>
  <si>
    <t xml:space="preserve">23,18</t>
  </si>
  <si>
    <t xml:space="preserve">ADAMTSL3:NM_001301110:exon28:c.C4678T:p.R1560C,ADAMTSL3:NM_207517:exon28:c.C4678T:p.R1560C;ADAMTSL3:uc002bjz.4:exon28:c.C4678T:p.R1560C;ADAMTSL3:ENST00000286744.10_6:exon28:c.C4678T:p.R1560C,ADAMTSL3:ENST00000567476.1_3:exon28:c.C4678T:p.R1560C</t>
  </si>
  <si>
    <t xml:space="preserve">9.55133265504144e-09</t>
  </si>
  <si>
    <t xml:space="preserve">ADAMTS like 3</t>
  </si>
  <si>
    <t xml:space="preserve">309.64</t>
  </si>
  <si>
    <t xml:space="preserve">49</t>
  </si>
  <si>
    <t xml:space="preserve">35,14</t>
  </si>
  <si>
    <t xml:space="preserve">startloss</t>
  </si>
  <si>
    <t xml:space="preserve">TMEM186:NM_015421:exon1:c.A1G:p.M1?;TMEM186:uc002cze.3:exon1:c.A1G:p.M1?;TMEM186:ENST00000333050.7_5:exon1:c.A1G:p.M1?</t>
  </si>
  <si>
    <t xml:space="preserve">4/8</t>
  </si>
  <si>
    <t xml:space="preserve">0.00140985400566882</t>
  </si>
  <si>
    <t xml:space="preserve">transmembrane protein 186</t>
  </si>
  <si>
    <t xml:space="preserve">240.64</t>
  </si>
  <si>
    <t xml:space="preserve">16</t>
  </si>
  <si>
    <t xml:space="preserve">8,8</t>
  </si>
  <si>
    <t xml:space="preserve">stopgain</t>
  </si>
  <si>
    <t xml:space="preserve">PHKB:NM_000293:exon1:c.G39A:p.W13X,PHKB:NM_001363837:exon1:c.G39A:p.W13X;PHKB:uc002eev.4:exon1:c.G39A:p.W13X;PHKB:ENST00000299167.12_4:exon1:c.G39A:p.W13X,PHKB:ENST00000323584.10_7:exon1:c.G39A:p.W13X</t>
  </si>
  <si>
    <t xml:space="preserve">2/3</t>
  </si>
  <si>
    <t xml:space="preserve">3.16119097774812e-10</t>
  </si>
  <si>
    <t xml:space="preserve">phosphorylase kinase, beta</t>
  </si>
  <si>
    <t xml:space="preserve">FUNCTION: Phosphorylase b kinase catalyzes the phosphorylation of serine in certain substrates, including troponin I. The beta chain acts as a regulatory unit and modulates the activity of the holoenzyme in response to phosphorylation.; </t>
  </si>
  <si>
    <t xml:space="preserve">DISEASE: Glycogen storage disease 9B (GSD9B) [MIM:261750]: A metabolic disorder characterized by hepatomegaly, only slightly elevated transaminases and plasma lipids, clinical improvement with increasing age, and remarkably no clinical muscle involvement. Biochemical observations suggest that this mild phenotype is caused by an incomplete holoenzyme that lacks the beta subunit, but that may possess residual activity. {ECO:0000269|PubMed:9402963}. Note=The disease is caused by mutations affecting the gene represented in this entry.; </t>
  </si>
  <si>
    <t xml:space="preserve">441.64</t>
  </si>
  <si>
    <t xml:space="preserve">31</t>
  </si>
  <si>
    <t xml:space="preserve">17,14</t>
  </si>
  <si>
    <t xml:space="preserve">WDR35:NM_020779:exon25:c.C3019T:p.R1007C,WDR35:NM_001006657:exon26:c.C3052T:p.R1018C;WDR35:uc002rdh.3:exon17:c.C1471T:p.R491C,WDR35:uc002rdj.3:exon25:c.C3019T:p.R1007C,WDR35:uc002rdi.3:exon26:c.C3052T:p.R1018C;WDR35:ENST00000281405.9_8:exon25:c.C3019T:p.R1007C,WDR35:ENST00000345530.8_6:exon26:c.C3052T:p.R1018C</t>
  </si>
  <si>
    <t xml:space="preserve">2.64838406754913e-16</t>
  </si>
  <si>
    <t xml:space="preserve">WD repeat domain 35</t>
  </si>
  <si>
    <t xml:space="preserve">FUNCTION: Component of the IFT complex A (IFT-A), a complex required for retrograde ciliary transport. Required for ciliogenesis. May promote CASP3 activation and TNF-stimulated apoptosis. {ECO:0000269|PubMed:20193664, ECO:0000269|PubMed:21473986}.; </t>
  </si>
  <si>
    <t xml:space="preserve">DISEASE: Cranioectodermal dysplasia 2 (CED2) [MIM:613610]: A disorder characterized by craniofacial, skeletal and ectodermal abnormalities. Clinical features include short stature, dolichocephaly, craniosynostosis, narrow thorax with pectus excavatum, short limbs, brachydactyly, joint laxity, narrow palpebral fissures, telecanthus with hypertelorism, low-set simple ears, everted lower lip, and short neck. Teeth abnormalities include widely spaced, hypoplastic and fused teeth. {ECO:0000269|PubMed:20817137}. Note=The disease is caused by mutations affecting the gene represented in this entry.; DISEASE: Short-rib thoracic dysplasia 7 with or without polydactyly (SRTD7) [MIM:614091]: A form of short-rib thoracic dysplasia, a group of autosomal recessive ciliopathies that are characterized by a constricted thoracic cage, short ribs, shortened tubular bones, and a 'trident' appearance of the acetabular roof. Polydactyly is variably present. Non-skeletal involvement can include cleft lip/palate as well as anomalies of major organs such as the brain, eye, heart, kidneys, liver, pancreas, intestines, and genitalia. Some forms of the disease are lethal in the neonatal period due to respiratory insufficiency secondary to a severely restricted thoracic cage, whereas others are compatible with life. Disease spectrum encompasses Ellis-van Creveld syndrome, asphyxiating thoracic dystrophy (Jeune syndrome), Mainzer-Saldino syndrome, and short rib-polydactyly syndrome. SRTD7 hallmarks are acromesomelic hypomineralization, campomelia, polysyndactyly, laterality defects, and cystic kidneys. {ECO:0000269|PubMed:21473986}. Note=The disease is caused by mutations affecting the gene represented in this entry. WDR35 mutations cause short rib-polydactyly syndrome through impaired cilia formation. Primary fibroblasts from SRTD7 patients lacking WDR35 fail to produce cilia (PubMed:21473986). {ECO:0000269|PubMed:21473986}.; </t>
  </si>
  <si>
    <t xml:space="preserve">81.64</t>
  </si>
  <si>
    <t xml:space="preserve">EIF5B:NM_015904:exon4:c.A710T:p.E237V;EIF5B:uc002tab.3:exon4:c.A710T:p.E237V;EIF5B:ENST00000289371.11_5:exon4:c.A710T:p.E237V,EIF5B:ENST00000617677.1_3:exon4:c.A710T:p.E237V</t>
  </si>
  <si>
    <t xml:space="preserve">0.895387512560445</t>
  </si>
  <si>
    <t xml:space="preserve">eukaryotic translation initiation factor 5B</t>
  </si>
  <si>
    <t xml:space="preserve">FUNCTION: Function in general translation initiation by promoting the binding of the formylmethionine-tRNA to ribosomes. Seems to function along with eIF-2 (By similarity). {ECO:0000250}.; </t>
  </si>
  <si>
    <t xml:space="preserve">chr22</t>
  </si>
  <si>
    <t xml:space="preserve">790.64</t>
  </si>
  <si>
    <t xml:space="preserve">53</t>
  </si>
  <si>
    <t xml:space="preserve">22,31</t>
  </si>
  <si>
    <t xml:space="preserve">SGSM3:NM_001350039:exon3:c.T58C:p.W20R,SGSM3:NM_001350040:exon3:c.T58C:p.W20R,SGSM3:NM_001350041:exon3:c.T58C:p.W20R,SGSM3:NM_015705:exon3:c.T58C:p.W20R;SGSM3:uc003ayu.1:exon3:c.T58C:p.W20R,SGSM3:uc010gyc.1:exon3:c.T58C:p.W20R;SGSM3:ENST00000248929.14_3:exon3:c.T58C:p.W20R</t>
  </si>
  <si>
    <t xml:space="preserve">1.00601271154805e-06</t>
  </si>
  <si>
    <t xml:space="preserve">small G protein signaling modulator 3</t>
  </si>
  <si>
    <t xml:space="preserve">FUNCTION: May play a cooperative role in NF2-mediated growth suppression of cells. {ECO:0000269|PubMed:15541357}.; </t>
  </si>
  <si>
    <t xml:space="preserve">225.64</t>
  </si>
  <si>
    <t xml:space="preserve">19</t>
  </si>
  <si>
    <t xml:space="preserve">12,7</t>
  </si>
  <si>
    <t xml:space="preserve">CNTN3:NM_020872:exon15:c.C1970T:p.T657M;CNTN3:uc003dpm.1:exon15:c.C1970T:p.T657M;CNTN3:ENST00000263665.7_5:exon16:c.C1970T:p.T657M</t>
  </si>
  <si>
    <t xml:space="preserve">0.0141417862555819</t>
  </si>
  <si>
    <t xml:space="preserve">contactin 3</t>
  </si>
  <si>
    <t xml:space="preserve">FUNCTION: Contactins mediate cell surface interactions during nervous system development. Has some neurite outgrowth-promoting activity (By similarity). {ECO:0000250}.; </t>
  </si>
  <si>
    <t xml:space="preserve">78.64</t>
  </si>
  <si>
    <t xml:space="preserve">8,3</t>
  </si>
  <si>
    <t xml:space="preserve">GOLGB1:NM_001256488:exon12:c.C2317T:p.L773F,GOLGB1:NM_001366283:exon12:c.C2434T:p.L812F,GOLGB1:NM_001366284:exon12:c.C2317T:p.L773F,GOLGB1:NM_001256486:exon13:c.C2557T:p.L853F,GOLGB1:NM_001256487:exon13:c.C2440T:p.L814F,GOLGB1:NM_001366282:exon13:c.C2557T:p.L853F,GOLGB1:NM_004487:exon13:c.C2542T:p.L848F;GOLGB1:uc011bjm.1:exon9:c.C2200T:p.L734F,GOLGB1:uc010hrd.2:exon12:c.C2434T:p.L812F,GOLGB1:uc021xcy.2:exon12:c.C2317T:p.L773F,GOLGB1:uc003eei.5:exon13:c.C2542T:p.L848F,GOLGB1:uc003eej.5:exon13:c.C2440T:p.L814F,GOLGB1:uc010hrc.4:exon13:c.C2557T:p.L853F;GOLGB1:ENST00000494517.6_12:exon12:c.C2434T:p.L812F,GOLGB1:ENST00000340645.10_9:exon13:c.C2542T:p.L848F,GOLGB1:ENST00000393667.8_7:exon13:c.C2557T:p.L853F,GOLGB1:ENST00000614479.5_5:exon13:c.C2557T:p.L853F</t>
  </si>
  <si>
    <t xml:space="preserve">4.23236652462592e-06</t>
  </si>
  <si>
    <t xml:space="preserve">golgin B1</t>
  </si>
  <si>
    <t xml:space="preserve">FUNCTION: May participate in forming intercisternal cross-bridges of the Golgi complex.; </t>
  </si>
  <si>
    <t xml:space="preserve">40.64</t>
  </si>
  <si>
    <t xml:space="preserve">10</t>
  </si>
  <si>
    <t xml:space="preserve">8,2</t>
  </si>
  <si>
    <t xml:space="preserve">CEP120:NM_001166226:exon6:c.G701A:p.R234H,CEP120:NM_001375405:exon6:c.G779A:p.R260H,CEP120:NM_001375406:exon6:c.G779A:p.R260H,CEP120:NM_001375407:exon6:c.G779A:p.R260H,CEP120:NM_001375409:exon7:c.G206A:p.R69H,CEP120:NM_153223:exon7:c.G779A:p.R260H,CEP120:NM_001375408:exon9:c.G206A:p.R69H;CEP120:uc010jcz.2:exon6:c.G701A:p.R234H,CEP120:uc003ktk.3:exon7:c.G779A:p.R260H,CEP120:uc011cwq.2:exon9:c.G206A:p.R69H;CEP120:ENST00000306467.10_5:exon6:c.G779A:p.R260H,CEP120:ENST00000306481.11_3:exon6:c.G701A:p.R234H,CEP120:ENST00000508442.7_5:exon6:c.G701A:p.R234H,CEP120:ENST00000674684.1_1:exon6:c.G779A:p.R260H,CEP120:ENST00000675330.1_1:exon6:c.G779A:p.R260H,CEP120:ENST00000675442.1_1:exon6:c.G701A:p.R234H,CEP120:ENST00000328236.10_3:exon7:c.G779A:p.R260H</t>
  </si>
  <si>
    <t xml:space="preserve">4.34470692506916e-11</t>
  </si>
  <si>
    <t xml:space="preserve">centrosomal protein 120kDa</t>
  </si>
  <si>
    <t xml:space="preserve">FUNCTION: Plays a role in the microtubule-dependent coupling of the nucleus and the centrosome. Involved in the processes that regulate centrosome-mediated interkinetic nuclear migration (INM) of neural progenitors and for proper positioning of neurons during brain development. Also implicated in the migration and selfrenewal of neural progenitors. May play a role in centriole duplication during mitosis (By similarity). {ECO:0000250|UniProtKB:Q7TSG1}.; </t>
  </si>
  <si>
    <t xml:space="preserve">DISEASE: Short-rib thoracic dysplasia 13 with or without polydactyly (SRTD13) [MIM:616300]: A form of short-rib thoracic dysplasia, a group of autosomal recessive ciliopathies that are characterized by a constricted thoracic cage, short ribs, shortened tubular bones, and a 'trident' appearance of the acetabular roof. Polydactyly is variably present. Non-skeletal involvement can include cleft lip/palate as well as anomalies of major organs such as the brain, eye, heart, kidneys, liver, pancreas, intestines, and genitalia. Some forms of the disease are lethal in the neonatal period due to respiratory insufficiency secondary to a severely restricted thoracic cage, whereas others are compatible with life. Disease spectrum encompasses Ellis-van Creveld syndrome, asphyxiating thoracic dystrophy (Jeune syndrome), Mainzer-Saldino syndrome, and short rib-polydactyly syndrome. {ECO:0000269|PubMed:25361962}. Note=The disease is caused by mutations affecting the gene represented in this entry.; </t>
  </si>
  <si>
    <t xml:space="preserve">232.64</t>
  </si>
  <si>
    <t xml:space="preserve">8</t>
  </si>
  <si>
    <t xml:space="preserve">2,6</t>
  </si>
  <si>
    <t xml:space="preserve">HSPA4:NM_002154:exon16:c.C1946G:p.T649S;HSPA4:uc003kyj.3:exon16:c.C1946G:p.T649S;HSPA4:ENST00000304858.7_3:exon16:c.C1946G:p.T649S</t>
  </si>
  <si>
    <t xml:space="preserve">0.999958225713848</t>
  </si>
  <si>
    <t xml:space="preserve">heat shock protein family A (Hsp70) member 4</t>
  </si>
  <si>
    <t xml:space="preserve">810.64</t>
  </si>
  <si>
    <t xml:space="preserve">42</t>
  </si>
  <si>
    <t xml:space="preserve">18,24</t>
  </si>
  <si>
    <t xml:space="preserve">DBN1:NM_001363541:exon7:c.G677A:p.R226Q,DBN1:NM_001364151:exon7:c.G674A:p.R225Q,DBN1:NM_004395:exon7:c.G677A:p.R226Q,DBN1:NM_080881:exon8:c.G683A:p.R228Q;DBN1:uc003mgz.1:exon6:c.G488A:p.R163Q,DBN1:uc010jkn.1:exon6:c.G527A:p.R176Q,DBN1:uc003mgy.2:exon7:c.G677A:p.R226Q,DBN1:uc003mgx.2:exon8:c.G683A:p.R228Q;DBN1:ENST00000309007.9_9:exon7:c.G677A:p.R226Q,DBN1:ENST00000393565.6_8:exon7:c.G677A:p.R226Q,DBN1:ENST00000292385.9_4:exon8:c.G683A:p.R228Q</t>
  </si>
  <si>
    <t xml:space="preserve">0.962685618555225</t>
  </si>
  <si>
    <t xml:space="preserve">drebrin 1</t>
  </si>
  <si>
    <t xml:space="preserve">FUNCTION: Drebrins might play some role in cell migration, extension of neuronal processes and plasticity of dendrites. Required for actin polymerization at immunological synapses (IS) and for CXCR4 recruitment to IS. {ECO:0000269|PubMed:20215400}.; </t>
  </si>
  <si>
    <t xml:space="preserve">101.64</t>
  </si>
  <si>
    <t xml:space="preserve">6</t>
  </si>
  <si>
    <t xml:space="preserve">2,4</t>
  </si>
  <si>
    <t xml:space="preserve">TBC1D32:NM_152730:exon32:c.C3667T:p.H1223Y,TBC1D32:NM_001367760:exon33:c.C3790T:p.H1264Y,TBC1D32:NM_001367759:exon34:c.C3790T:p.H1264Y;C6orf170:uc003pyo.1:exon32:c.C3667T:p.H1223Y;TBC1D32:ENST00000398212.7_6:exon32:c.C3667T:p.H1223Y,TBC1D32:ENST00000275159.10_4:exon33:c.C3790T:p.H1264Y</t>
  </si>
  <si>
    <t xml:space="preserve">1;1</t>
  </si>
  <si>
    <t xml:space="preserve">1.35030437532423e-12</t>
  </si>
  <si>
    <t xml:space="preserve">TBC1 domain family member 32</t>
  </si>
  <si>
    <t xml:space="preserve">FUNCTION: Required for high-level Shh responses in the developing neural tube. Together with CDK20, controls the structure of the primary cilium by coordinating assembly of the ciliary membrane and axoneme, allowing GLI2 to be properly activated in response to Shh signaling (By similarity). {ECO:0000250}.; </t>
  </si>
  <si>
    <t xml:space="preserve">207.64</t>
  </si>
  <si>
    <t xml:space="preserve">5,8</t>
  </si>
  <si>
    <t xml:space="preserve">NUB1:NM_001243351:exon2:c.G12T:p.K4N,NUB1:NM_001363529:exon2:c.G12T:p.K4N,NUB1:NM_001385353:exon2:c.G12T:p.K4N,NUB1:NM_001385354:exon2:c.G12T:p.K4N,NUB1:NM_001385355:exon2:c.G12T:p.K4N,NUB1:NM_001385356:exon2:c.G12T:p.K4N,NUB1:NM_001385361:exon2:c.G12T:p.K4N,NUB1:NM_016118:exon2:c.G12T:p.K4N;NUB1:uc003wjw.4:exon2:c.G84T:p.K28N,NUB1:uc003wjx.3:exon2:c.G84T:p.K28N,NUB1:uc022aqc.1:exon2:c.G84T:p.K28N;NUB1:ENST00000413040.7_3:exon2:c.G12T:p.K4N,NUB1:ENST00000470229.6_3:exon2:c.G12T:p.K4N,NUB1:ENST00000568733.6_4:exon2:c.G12T:p.K4N</t>
  </si>
  <si>
    <t xml:space="preserve">1.14912569365706e-05</t>
  </si>
  <si>
    <t xml:space="preserve">negative regulator of ubiquitin-like proteins 1</t>
  </si>
  <si>
    <t xml:space="preserve">FUNCTION: Specific down-regulator of the NEDD8 conjugation system. Recruits NEDD8, UBD, and their conjugates to the proteasome for degradation. Isoform 1 promotes the degradation of NEDD8 more efficiently than isoform 2. {ECO:0000269|PubMed:16707496}.; </t>
  </si>
  <si>
    <t xml:space="preserve">159.64</t>
  </si>
  <si>
    <t xml:space="preserve">17,6</t>
  </si>
  <si>
    <t xml:space="preserve">RNF223:NM_001205252:exon2:c.C499A:p.P167T;RNF223:uc021oeo.1:exon1:c.C499A:p.P167T,RNF223:uc021oen.1:exon2:c.C499A:p.P167T;RNF223:ENST00000453464.3_5:exon2:c.C499A:p.P167T</t>
  </si>
  <si>
    <t xml:space="preserve">ring finger protein 223</t>
  </si>
  <si>
    <t xml:space="preserve">262.64</t>
  </si>
  <si>
    <t xml:space="preserve">34</t>
  </si>
  <si>
    <t xml:space="preserve">25,9</t>
  </si>
  <si>
    <t xml:space="preserve">ACAP3:NM_030649:exon15:c.C1138T:p.R380C;ACAP3:uc001ady.2:exon5:c.C328T:p.R110C,ACAP3:uc001aea.2:exon14:c.C1012T:p.R338C,ACAP3:uc001aeb.2:exon15:c.C1138T:p.R380C;ACAP3:ENST00000353662.4_4:exon13:c.C1012T:p.R338C,ACAP3:ENST00000354700.10_5:exon15:c.C1138T:p.R380C</t>
  </si>
  <si>
    <t xml:space="preserve">0.0394309302206711</t>
  </si>
  <si>
    <t xml:space="preserve">ArfGAP with coiled-coil, ankyrin repeat and PH domains 3</t>
  </si>
  <si>
    <t xml:space="preserve">FUNCTION: GTPase-activating protein for the ADP ribosylation factor family. {ECO:0000305}.; </t>
  </si>
  <si>
    <t xml:space="preserve">904.64</t>
  </si>
  <si>
    <t xml:space="preserve">57,31</t>
  </si>
  <si>
    <t xml:space="preserve">LRRC47:NM_020710:exon2:c.G901A:p.V301M;LRRC47:uc001akx.1:exon2:c.G901A:p.V301M;LRRC47:ENST00000378251.3_5:exon2:c.G901A:p.V301M</t>
  </si>
  <si>
    <t xml:space="preserve">0.60383218752352</t>
  </si>
  <si>
    <t xml:space="preserve">leucine rich repeat containing 47</t>
  </si>
  <si>
    <t xml:space="preserve">510.64</t>
  </si>
  <si>
    <t xml:space="preserve">52</t>
  </si>
  <si>
    <t xml:space="preserve">36,16</t>
  </si>
  <si>
    <t xml:space="preserve">SLC2A7:NM_207420:exon8:c.C993G:p.N331K;SLC2A7:uc009vmo.1:exon8:c.C993G:p.N331K;SLC2A7:ENST00000400906.2_4:exon8:c.C993G:p.N331K</t>
  </si>
  <si>
    <t xml:space="preserve">2.99498303352468e-17</t>
  </si>
  <si>
    <t xml:space="preserve">solute carrier family 2 member 7</t>
  </si>
  <si>
    <t xml:space="preserve">FUNCTION: High-affinity transporter for glucose and fructose Does not transport galactose, 2-deoxy-d-glucose and xylose. {ECO:0000269|PubMed:15033637}.; </t>
  </si>
  <si>
    <t xml:space="preserve">1075.64</t>
  </si>
  <si>
    <t xml:space="preserve">94</t>
  </si>
  <si>
    <t xml:space="preserve">56,38</t>
  </si>
  <si>
    <t xml:space="preserve">CLSTN1:NM_001302883:exon11:c.G1654A:p.E552K,CLSTN1:NM_014944:exon11:c.G1681A:p.E561K,CLSTN1:NM_001009566:exon12:c.G1711A:p.E571K;CLSTN1:uc001aqi.3:exon11:c.G1681A:p.E561K,CLSTN1:uc010oag.2:exon11:c.G1654A:p.E552K,CLSTN1:uc001aqh.3:exon12:c.G1711A:p.E571K;CLSTN1:ENST00000361311.4_6:exon11:c.G1681A:p.E561K,CLSTN1:ENST00000377298.9_7:exon12:c.G1711A:p.E571K</t>
  </si>
  <si>
    <t xml:space="preserve">0.844214450133216</t>
  </si>
  <si>
    <t xml:space="preserve">calsyntenin 1</t>
  </si>
  <si>
    <t xml:space="preserve">FUNCTION: Induces KLC1 association with vesicles and functions as a cargo in axonal anterograde transport. Complex formation with APBA2 and APP, stabilizes APP metabolism and enhances APBA2- mediated suppression of beta-APP40 secretion, due to the retardation of intracellular APP maturation. In complex with APBA2 and C99, a C-terminal APP fragment, abolishes C99 interaction with PSEN1 and thus APP C99 cleavage by gamma-secretase, most probably through stabilization of the direct interaction between APBA2 and APP. The intracellular fragment AlcICD suppresses APBB1-dependent transactivation stimulated by APP C-terminal intracellular fragment (AICD), most probably by competing with AICD for APBB1- binding. May modulate calcium-mediated postsynaptic signals (By similarity). {ECO:0000250, ECO:0000269|PubMed:12972431}.; </t>
  </si>
  <si>
    <t xml:space="preserve">773.64</t>
  </si>
  <si>
    <t xml:space="preserve">22,27</t>
  </si>
  <si>
    <t xml:space="preserve">EXOSC10:NM_001001998:exon11:c.C1283A:p.P428H,EXOSC10:NM_002685:exon11:c.C1283A:p.P428H;EXOSC10:uc001asa.3:exon11:c.C1283A:p.P428H,EXOSC10:uc001asb.3:exon11:c.C1283A:p.P428H,EXOSC10:uc009vmy.1:exon11:c.C1283A:p.P428H;EXOSC10:ENST00000304457.11_6:exon11:c.C1283A:p.P428H,EXOSC10:ENST00000376936.9_8:exon11:c.C1283A:p.P428H</t>
  </si>
  <si>
    <t xml:space="preserve">9/12</t>
  </si>
  <si>
    <t xml:space="preserve">6/7</t>
  </si>
  <si>
    <t xml:space="preserve">1.65795367368417e-07</t>
  </si>
  <si>
    <t xml:space="preserve">exosome component 10</t>
  </si>
  <si>
    <t xml:space="preserve">FUNCTION: Putative catalytic component of the RNA exosome complex which has 3'-&gt;5' exoribonuclease activity and participates in a multitude of cellular RNA processing and degradation events. In the nucleus, the RNA exosome complex is involved in proper maturation of stable RNA species such as rRNA, snRNA and snoRNA, in the elimination of RNA processing by-products and non-coding 'pervasive' transcripts, such as antisense RNA species and promoter-upstream transcripts (PROMPTs), and of mRNAs with processing defects, thereby limiting or excluding their export to the cytoplasm. The RNA exosome may be involved in Ig class switch recombination (CSR) and/or Ig variable region somatic hypermutation (SHM) by targeting AICDA deamination activity to transcribed dsDNA substrates. In the cytoplasm, the RNA exosome complex is involved in general mRNA turnover and specifically degrades inherently unstable mRNAs containing AU-rich elements (AREs) within their 3' untranslated regions, and in RNA surveillance pathways, preventing translation of aberrant mRNAs. It seems to be involved in degradation of histone mRNA. EXOSC10 has 3'-5' exonuclease activity (By similarity). EXOSC10 is required for nucleolar localization of C1D and probably mediates the association of SKIV2L2, C1D and MPP6 wth the RNA exosome involved in the maturation of 5.8S rRNA. {ECO:0000250, ECO:0000269|PubMed:14527413, ECO:0000269|PubMed:16455498, ECO:0000269|PubMed:17412707, ECO:0000269|PubMed:17545563, ECO:0000269|PubMed:18172165, ECO:0000269|PubMed:19056938, ECO:0000269|PubMed:20368444, ECO:0000269|PubMed:20699273}.; </t>
  </si>
  <si>
    <t xml:space="preserve">1061.64</t>
  </si>
  <si>
    <t xml:space="preserve">73</t>
  </si>
  <si>
    <t xml:space="preserve">40,33</t>
  </si>
  <si>
    <t xml:space="preserve">PADI4:NM_012387:exon11:c.C1271T:p.P424L;PADI4:uc001baj.2:exon11:c.C1271T:p.P424L;PADI4:ENST00000375448.4_3:exon11:c.C1271T:p.P424L</t>
  </si>
  <si>
    <t xml:space="preserve">1.30424837822011e-09</t>
  </si>
  <si>
    <t xml:space="preserve">peptidyl arginine deiminase, type IV</t>
  </si>
  <si>
    <t xml:space="preserve">FUNCTION: Catalyzes the citrullination/deimination of arginine residues of proteins such as histones, thereby playing a key role in histone code and regulation of stem cell maintenance. Citrullinates histone H1 at 'Arg-54' (to form H1R54ci), histone H3 at 'Arg-2', 'Arg-8', 'Arg-17' and/or 'Arg-26' (to form H3R2ci, H3R8ci, H3R17ci, H3R26ci, respectively) and histone H4 at 'Arg-3' (to form H4R3ci). Acts as a key regulator of stem cell maintenance by mediating citrullination of histone H1: citrullination of 'Arg- 54' of histone H1 (H1R54ci) results in H1 displacement from chromatin and global chromatin decondensation, thereby promoting pluripotency and stem cell maintenance. Promotes profound chromatin decondensation during the innate immune response to infection in neutrophils by mediating formation of H1R54ci. Citrullination of histone H3 prevents their methylation by CARM1 and HRMT1L2/PRMT1 and represses transcription. Citrullinates EP300/P300 at 'Arg-2142', which favors its interaction with NCOA2/GRIP1. {ECO:0000269|PubMed:15339660, ECO:0000269|PubMed:15345777, ECO:0000269|PubMed:15731352, ECO:0000269|PubMed:16567635, ECO:0000269|PubMed:18209087, ECO:0000269|PubMed:21245532}.; </t>
  </si>
  <si>
    <t xml:space="preserve">DISEASE: Rheumatoid arthritis (RA) [MIM:180300]: An inflammatory disease with autoimmune features and a complex genetic component. It primarily affects the joints and is characterized by inflammatory changes in the synovial membranes and articular structures, widespread fibrinoid degeneration of the collagen fibers in mesenchymal tissues, and by atrophy and rarefaction of bony structures. {ECO:0000269|PubMed:12833157}. Note=The gene represented in this entry may be involved in disease pathogenesis. The association to rheumatoid arthritis was initially thought to result from increased citrullination of target proteins (PubMed:12833157). However, variants that have been associated to rheumatoid arthritis (Ser-55, Ala-82 and Ala-112) do not affect the catalytic activity or the citrullination activity of PADI4, suggesting that these variants may affect the mRNA stability rather than the protein (PubMed:21245532). {ECO:0000269|PubMed:12833157, ECO:0000269|PubMed:21245532}.; </t>
  </si>
  <si>
    <t xml:space="preserve">659.64</t>
  </si>
  <si>
    <t xml:space="preserve">30,22</t>
  </si>
  <si>
    <t xml:space="preserve">RNF186:NM_019062:exon1:c.C535T:p.R179X;RNF186:uc001bcr.3:exon1:c.C535T:p.R179X;RNF186:ENST00000375121.4_4:exon1:c.C535T:p.R179X</t>
  </si>
  <si>
    <t xml:space="preserve">1/3</t>
  </si>
  <si>
    <t xml:space="preserve">0.0154783237731939</t>
  </si>
  <si>
    <t xml:space="preserve">ring finger protein 186</t>
  </si>
  <si>
    <t xml:space="preserve">111.64</t>
  </si>
  <si>
    <t xml:space="preserve">9,4</t>
  </si>
  <si>
    <t xml:space="preserve">OTUD3:NM_015207:exon1:c.G131A:p.G44D;OTUD3:uc001bcs.4:exon1:c.G131A:p.G44D;OTUD3:ENST00000375120.4_3:exon1:c.G131A:p.G44D</t>
  </si>
  <si>
    <t xml:space="preserve">3/12</t>
  </si>
  <si>
    <t xml:space="preserve">2.62536799027489e-05</t>
  </si>
  <si>
    <t xml:space="preserve">OTU deubiquitinase 3</t>
  </si>
  <si>
    <t xml:space="preserve">FUNCTION: Deubiquitinating enzyme that hydrolyzes 'Lys-6'- and 'Lys-11'-linked polyubiquitin. Also hydrolyzes heterotypic (mixed and branched) and homotypic chains. {ECO:0000269|PubMed:23827681}.; </t>
  </si>
  <si>
    <t xml:space="preserve">768.64</t>
  </si>
  <si>
    <t xml:space="preserve">28,24</t>
  </si>
  <si>
    <t xml:space="preserve">EPHA8:NM_001006943:exon2:c.G133A:p.G45S,EPHA8:NM_020526:exon2:c.G133A:p.G45S;EPHA8:uc001bfw.3:exon2:c.G133A:p.G45S,EPHA8:uc001bfx.1:exon2:c.G133A:p.G45S;EPHA8:ENST00000166244.8_3:exon2:c.G133A:p.G45S,EPHA8:ENST00000374644.8_1:exon2:c.G133A:p.G45S</t>
  </si>
  <si>
    <t xml:space="preserve">1.13671356316739e-08</t>
  </si>
  <si>
    <t xml:space="preserve">EPH receptor A8</t>
  </si>
  <si>
    <t xml:space="preserve">FUNCTION: Receptor tyrosine kinase which binds promiscuously GPI- anchored ephrin-A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The GPI-anchored ephrin-A EFNA2, EFNA3, and EFNA5 are able to activate EPHA8 through phosphorylation. With EFNA5 may regulate integrin-mediated cell adhesion and migration on fibronectin substrate but also neurite outgrowth. During development of the nervous system plays also a role in axon guidance. Downstream effectors of the EPHA8 signaling pathway include FYN which promotes cell adhesion upon activation by EPHA8 and the MAP kinases in the stimulation of neurite outgrowth (By similarity). {ECO:0000250}.; </t>
  </si>
  <si>
    <t xml:space="preserve">59.64</t>
  </si>
  <si>
    <t xml:space="preserve">13,3</t>
  </si>
  <si>
    <t xml:space="preserve">GJA9:NM_030772:exon2:c.G22A:p.G8R;GJA9:uc021olr.1:exon1:c.G22A:p.G8R;GJA9:ENST00000360786.3_4:exon1:c.G22A:p.G8R,GJA9:ENST00000357771.5_5:exon2:c.G22A:p.G8R</t>
  </si>
  <si>
    <t xml:space="preserve">9/10</t>
  </si>
  <si>
    <t xml:space="preserve">3.07324197077134e-06</t>
  </si>
  <si>
    <t xml:space="preserve">gap junction protein alpha 9</t>
  </si>
  <si>
    <t xml:space="preserve">FUNCTION: One gap junction consists of a cluster of closely packed pairs of transmembrane channels, the connexons, through which materials of low MW diffuse from one cell to a neighboring cell. {ECO:0000250}.; </t>
  </si>
  <si>
    <t xml:space="preserve">876.64</t>
  </si>
  <si>
    <t xml:space="preserve">74</t>
  </si>
  <si>
    <t xml:space="preserve">42,32</t>
  </si>
  <si>
    <t xml:space="preserve">IPO13:NM_014652:exon19:c.G2750A:p.R917H;IPO13:uc001cky.3:exon4:c.G404A:p.R135H,IPO13:uc001ckx.3:exon19:c.G2750A:p.R917H;IPO13:ENST00000372339.3_1:exon4:c.G404A:p.R135H,IPO13:ENST00000372343.8_3:exon19:c.G2750A:p.R917H</t>
  </si>
  <si>
    <t xml:space="preserve">0.972444338181171</t>
  </si>
  <si>
    <t xml:space="preserve">importin 13</t>
  </si>
  <si>
    <t xml:space="preserve">FUNCTION: Functions in nuclear protein import as nuclear transport receptor. Serves as receptor for nuclear localization signals (NLS) in cargo substrates. Is thought to mediate docking of the importin/substrate complex to the nuclear pore complex (NPC) through binding to nucleoporin and the complex is subsequently translocated through the pore by an energy requiring, Ran- dependent mechanism. At the nucleoplasmic side of the NPC, Ran binds to the importin, the importin/substrate complex dissociates and importin is re-exported from the nucleus to the cytoplasm where GTP hydrolysis releases Ran. The directionality of nuclear import is thought to be conferred by an asymmetric distribution of the GTP- and GDP-bound forms of Ran between the cytoplasm and nucleus (By similarity). Mediates the nuclear import of UBC9, the RBM8A/MAGOH complex, PAX6 and probably other members of the paired homeobox family. Also mediates nuclear export of eIF-1A, and the cytoplasmic release of eIF-1A is triggered by the loading of import substrates onto IPO13. {ECO:0000250, ECO:0000269|PubMed:11447110, ECO:0000269|PubMed:15143176}.; </t>
  </si>
  <si>
    <t xml:space="preserve">326.64</t>
  </si>
  <si>
    <t xml:space="preserve">24</t>
  </si>
  <si>
    <t xml:space="preserve">14,10</t>
  </si>
  <si>
    <t xml:space="preserve">UROD:NM_000374:exon7:c.C745T:p.R249W;UROD:uc001cna.2:exon7:c.C745T:p.R249W,UROD:uc001cnb.2:exon7:c.C640T:p.R214W;UROD:ENST00000652287.1_1:exon6:c.C682T:p.R228W,UROD:ENST00000246337.9_4:exon7:c.C745T:p.R249W,UROD:ENST00000636836.1_1:exon7:c.C745T:p.R249W,UROD:ENST00000651476.1_1:exon7:c.C640T:p.R214W</t>
  </si>
  <si>
    <t xml:space="preserve">0.000142209588904372</t>
  </si>
  <si>
    <t xml:space="preserve">uroporphyrinogen decarboxylase</t>
  </si>
  <si>
    <t xml:space="preserve">FUNCTION: Catalyzes the decarboxylation of four acetate groups of uroporphyrinogen-III to yield coproporphyrinogen-III.; </t>
  </si>
  <si>
    <t xml:space="preserve">DISEASE: Familial porphyria cutanea tarda (FPCT) [MIM:176100]: A form of porphyria. Porphyrias are inherited defects in the biosynthesis of heme, resulting in the accumulation and increased excretion of porphyrins or porphyrin precursors. They are classified as erythropoietic or hepatic, depending on whether the enzyme deficiency occurs in red blood cells or in the liver. Familial porphyria cutanea tarda is an autosomal dominant disorder characterized by light-sensitive dermatitis, with onset in later life. It is associated with the excretion of large amounts of uroporphyrin in the urine. Iron overload is often present in association with varying degrees of liver damage. {ECO:0000269|PubMed:10338097, ECO:0000269|PubMed:10477430, ECO:0000269|PubMed:11069625, ECO:0000269|PubMed:11295834, ECO:0000269|PubMed:11719352, ECO:0000269|PubMed:2243121, ECO:0000269|PubMed:2920211, ECO:0000269|PubMed:7706766, ECO:0000269|PubMed:8896428, ECO:0000269|PubMed:9792863}. Note=The disease is caused by mutations affecting the gene represented in this entry.; DISEASE: Hepatoerythropoietic porphyria (HEP) [MIM:176100]: A form of porphyria. Porphyrias are inherited defects in the biosynthesis of heme, resulting in the accumulation and increased excretion of porphyrins or porphyrin precursors. They are classified as erythropoietic or hepatic, depending on whether the enzyme deficiency occurs in red blood cells or in the liver. HEP is a cutaneous porphyria that presents in infancy. It is characterized biochemically by excessive excretion of acetate-substituted porphyrins and accumulation of protoporphyrin in erythrocytes. Uroporphyrinogen decarboxylase levels are very low in erythrocytes and cultured skin fibroblasts. {ECO:0000269|PubMed:12071824, ECO:0000269|PubMed:15491440, ECO:0000269|PubMed:1634232, ECO:0000269|PubMed:17240319, ECO:0000269|PubMed:1905636, ECO:0000269|PubMed:21668429, ECO:0000269|PubMed:3775362, ECO:0000269|PubMed:8176248, ECO:0000269|PubMed:8644733, ECO:0000269|PubMed:8896428}. Note=The disease is caused by mutations affecting the gene represented in this entry.; </t>
  </si>
  <si>
    <t xml:space="preserve">570.64</t>
  </si>
  <si>
    <t xml:space="preserve">39</t>
  </si>
  <si>
    <t xml:space="preserve">21,18</t>
  </si>
  <si>
    <t xml:space="preserve">TSPAN1:NM_005727:exon9:c.G690A:p.M230I;TSPAN1:uc001cpd.3:exon9:c.G690A:p.M230I;TSPAN1:ENST00000372003.6_3:exon9:c.G690A:p.M230I</t>
  </si>
  <si>
    <t xml:space="preserve">0.000714382124602965</t>
  </si>
  <si>
    <t xml:space="preserve">tetraspanin 1</t>
  </si>
  <si>
    <t xml:space="preserve">654.64</t>
  </si>
  <si>
    <t xml:space="preserve">38,30</t>
  </si>
  <si>
    <t xml:space="preserve">CYP4B1:NM_001319162:exon6:c.A478G:p.S160G,CYP4B1:NM_001319163:exon6:c.A475G:p.S159G,CYP4B1:NM_001319161:exon7:c.A922G:p.S308G,CYP4B1:NM_000779:exon8:c.A964G:p.S322G,CYP4B1:NM_001099772:exon8:c.A967G:p.S323G;CYP4B1:uc010omk.2:exon6:c.A475G:p.S159G,CYP4B1:uc009vym.3:exon7:c.A922G:p.S308G,CYP4B1:uc001cqm.4:exon8:c.A964G:p.S322G,CYP4B1:uc001cqn.4:exon8:c.A967G:p.S323G,CYP4B1:uc009vyl.1:exon8:c.A475G:p.S159G;CYP4B1:ENST00000371919.8_2:exon7:c.A922G:p.S308G,CYP4B1:ENST00000271153.8_4:exon8:c.A964G:p.S322G,CYP4B1:ENST00000371923.9_5:exon8:c.A967G:p.S323G</t>
  </si>
  <si>
    <t xml:space="preserve">5.37386386780508e-10</t>
  </si>
  <si>
    <t xml:space="preserve">cytochrome P450 family 4 subfamily B member 1</t>
  </si>
  <si>
    <t xml:space="preserve">FUNCTION: Cytochromes P450 are a group of heme-thiolate monooxygenases. In liver microsomes, this enzyme is involved in an NADPH-dependent electron transport pathway. It oxidizes a variety of structurally unrelated compounds, including steroids, fatty acids, and xenobiotics.; </t>
  </si>
  <si>
    <t xml:space="preserve">390.64</t>
  </si>
  <si>
    <t xml:space="preserve">17</t>
  </si>
  <si>
    <t xml:space="preserve">5,12</t>
  </si>
  <si>
    <t xml:space="preserve">DMRTA2:NM_032110:exon3:c.G1435A:p.G479S;DMRTA2:uc010ona.2:exon2:c.G1435A:p.G479S,DMRTA2:uc010onb.2:exon3:c.G1435A:p.G479S;DMRTA2:ENST00000418121.5_3:exon2:c.G1435A:p.G479S,DMRTA2:ENST00000404795.4_5:exon3:c.G1435A:p.G479S</t>
  </si>
  <si>
    <t xml:space="preserve">DMRT like family A2</t>
  </si>
  <si>
    <t xml:space="preserve">FUNCTION: May be involved in sexual development.; </t>
  </si>
  <si>
    <t xml:space="preserve">575.64</t>
  </si>
  <si>
    <t xml:space="preserve">18,16</t>
  </si>
  <si>
    <t xml:space="preserve">stoploss</t>
  </si>
  <si>
    <t xml:space="preserve">LEXM:NM_152607:exon10:c.T1243G:p.X415E;C1orf177:uc001cya.4:exon10:c.T1243G:p.X415E;LEXM:ENST00000358193.7_5:exon10:c.T1243G:p.X415E</t>
  </si>
  <si>
    <t xml:space="preserve">0/2</t>
  </si>
  <si>
    <t xml:space="preserve">lymphocyte expansion molecule</t>
  </si>
  <si>
    <t xml:space="preserve">55.64</t>
  </si>
  <si>
    <t xml:space="preserve">9</t>
  </si>
  <si>
    <t xml:space="preserve">7,2</t>
  </si>
  <si>
    <t xml:space="preserve">MCOLN3:NM_001253693:exon2:c.C80A:p.S27Y,MCOLN3:NM_018298:exon2:c.C80A:p.S27Y;MCOLN3:uc001dkp.3:exon2:c.C80A:p.S27Y,MCOLN3:uc001dkq.3:exon2:c.C80A:p.S27Y,MCOLN3:uc001dkr.3:exon3:c.C80A:p.S27Y;MCOLN3:ENST00000341115.8_3:exon2:c.C80A:p.S27Y,MCOLN3:ENST00000370589.7_5:exon2:c.C80A:p.S27Y,MCOLN3:ENST00000370587.5_3:exon3:c.C80A:p.S27Y</t>
  </si>
  <si>
    <t xml:space="preserve">3.77973883718057e-07</t>
  </si>
  <si>
    <t xml:space="preserve">mucolipin 3</t>
  </si>
  <si>
    <t xml:space="preserve">360.64</t>
  </si>
  <si>
    <t xml:space="preserve">37</t>
  </si>
  <si>
    <t xml:space="preserve">22,15</t>
  </si>
  <si>
    <t xml:space="preserve">MYBPHL:NM_001010985:exon6:c.C763T:p.R255X,MYBPHL:NM_001265613:exon6:c.C694T:p.R232X;MYBPHL:uc001dxk.1:exon6:c.C763T:p.R255X,MYBPHL:uc010ovh.1:exon6:c.C694T:p.R232X;MYBPHL:ENST00000357155.2_5:exon6:c.C763T:p.R255X</t>
  </si>
  <si>
    <t xml:space="preserve">0.00461844098878081</t>
  </si>
  <si>
    <t xml:space="preserve">myosin binding protein H-like</t>
  </si>
  <si>
    <t xml:space="preserve">1053.64</t>
  </si>
  <si>
    <t xml:space="preserve">78</t>
  </si>
  <si>
    <t xml:space="preserve">44,34</t>
  </si>
  <si>
    <t xml:space="preserve">AMIGO1:NM_020703:exon2:c.G1285T:p.A429S;AMIGO1:uc021org.1:exon1:c.G1285T:p.A429S,AMIGO1:uc001dxx.4:exon2:c.G1285T:p.A429S;AMIGO1:ENST00000369862.1_3:exon2:c.G1285T:p.A429S,AMIGO1:ENST00000369864.5_5:exon2:c.G1285T:p.A429S</t>
  </si>
  <si>
    <t xml:space="preserve">0.888492588974354</t>
  </si>
  <si>
    <t xml:space="preserve">adhesion molecule with Ig-like domain 1</t>
  </si>
  <si>
    <t xml:space="preserve">FUNCTION: Promotes growth and fasciculation of neurites from cultured hippocampal neurons. May be involved in fasciculation as well as myelination of developing neural axons. May have a role in regeneration as well as neural plasticity in the adult nervous system. May mediate homophilic as well as heterophilic cell-cell interaction and contribute to signal transduction through its intracellular domain. Assembled with KCNB1 modulates the gating characteristics of the delayed rectifier voltage-dependent potassium channel KCNB1. {ECO:0000250|UniProtKB:Q80ZD7, ECO:0000250|UniProtKB:Q80ZD8}.; </t>
  </si>
  <si>
    <t xml:space="preserve">134.64</t>
  </si>
  <si>
    <t xml:space="preserve">71</t>
  </si>
  <si>
    <t xml:space="preserve">60,11</t>
  </si>
  <si>
    <t xml:space="preserve">IGSF3:NM_001007237:exon7:c.A2009T:p.E670V,IGSF3:NM_001542:exon8:c.A2069T:p.E690V;IGSF3:uc001egs.1:exon3:c.A1028T:p.E343V,IGSF3:uc001egr.2:exon7:c.A2009T:p.E670V,IGSF3:uc031pnr.1:exon7:c.A2069T:p.E690V;IGSF3:ENST00000318837.6_5:exon7:c.A2069T:p.E690V,IGSF3:ENST00000369486.8_8:exon7:c.A2009T:p.E670V,IGSF3:ENST00000369483.5_5:exon8:c.A2069T:p.E690V</t>
  </si>
  <si>
    <t xml:space="preserve">14</t>
  </si>
  <si>
    <t xml:space="preserve">0.987084919325614</t>
  </si>
  <si>
    <t xml:space="preserve">immunoglobulin superfamily member 3</t>
  </si>
  <si>
    <t xml:space="preserve">NGS_HighStringency</t>
  </si>
  <si>
    <t xml:space="preserve">1047.64</t>
  </si>
  <si>
    <t xml:space="preserve">175</t>
  </si>
  <si>
    <t xml:space="preserve">126,49</t>
  </si>
  <si>
    <t xml:space="preserve">IGSF3:NM_001007237:exon7:c.G1892T:p.S631I,IGSF3:NM_001542:exon8:c.G1952T:p.S651I;IGSF3:uc001egs.1:exon3:c.G911T:p.S304I,IGSF3:uc001egr.2:exon7:c.G1892T:p.S631I,IGSF3:uc031pnr.1:exon7:c.G1952T:p.S651I;IGSF3:ENST00000318837.6_5:exon7:c.G1952T:p.S651I,IGSF3:ENST00000369486.8_8:exon7:c.G1892T:p.S631I,IGSF3:ENST00000369483.5_5:exon8:c.G1952T:p.S651I</t>
  </si>
  <si>
    <t xml:space="preserve">1095.64</t>
  </si>
  <si>
    <t xml:space="preserve">168</t>
  </si>
  <si>
    <t xml:space="preserve">120,48</t>
  </si>
  <si>
    <t xml:space="preserve">IGSF3:NM_001007237:exon7:c.T1856C:p.I619T,IGSF3:NM_001542:exon8:c.T1916C:p.I639T;IGSF3:uc001egs.1:exon3:c.T875C:p.I292T,IGSF3:uc001egr.2:exon7:c.T1856C:p.I619T,IGSF3:uc031pnr.1:exon7:c.T1916C:p.I639T;IGSF3:ENST00000318837.6_5:exon7:c.T1916C:p.I639T,IGSF3:ENST00000369486.8_8:exon7:c.T1856C:p.I619T,IGSF3:ENST00000369483.5_5:exon8:c.T1916C:p.I639T</t>
  </si>
  <si>
    <t xml:space="preserve">79.64</t>
  </si>
  <si>
    <t xml:space="preserve">48,10</t>
  </si>
  <si>
    <t xml:space="preserve">IGSF3:NM_001007237:exon6:c.C1366T:p.R456C,IGSF3:NM_001542:exon7:c.C1426T:p.R476C;IGSF3:uc001egs.1:exon2:c.C385T:p.R129C,IGSF3:uc001egr.2:exon6:c.C1366T:p.R456C,IGSF3:uc031pnr.1:exon6:c.C1426T:p.R476C;IGSF3:ENST00000318837.6_5:exon6:c.C1426T:p.R476C,IGSF3:ENST00000369486.8_8:exon6:c.C1366T:p.R456C,IGSF3:ENST00000369483.5_5:exon7:c.C1426T:p.R476C</t>
  </si>
  <si>
    <t xml:space="preserve">7/12</t>
  </si>
  <si>
    <t xml:space="preserve">198.64</t>
  </si>
  <si>
    <t xml:space="preserve">49,9</t>
  </si>
  <si>
    <t xml:space="preserve">IGSF3:NM_001007237:exon6:c.C1307T:p.T436M,IGSF3:NM_001542:exon7:c.C1367T:p.T456M;IGSF3:uc001egs.1:exon2:c.C326T:p.T109M,IGSF3:uc001egr.2:exon6:c.C1307T:p.T436M,IGSF3:uc031pnr.1:exon6:c.C1367T:p.T456M;IGSF3:ENST00000318837.6_5:exon6:c.C1367T:p.T456M,IGSF3:ENST00000369486.8_8:exon6:c.C1307T:p.T436M,IGSF3:ENST00000369483.5_5:exon7:c.C1367T:p.T456M</t>
  </si>
  <si>
    <t xml:space="preserve">4/12</t>
  </si>
  <si>
    <t xml:space="preserve">53.64</t>
  </si>
  <si>
    <t xml:space="preserve">46,7</t>
  </si>
  <si>
    <t xml:space="preserve">IGSF3:NM_001007237:exon6:c.G1278C:p.E426D,IGSF3:NM_001542:exon7:c.G1338C:p.E446D;IGSF3:uc001egs.1:exon2:c.G297C:p.E99D,IGSF3:uc001egr.2:exon6:c.G1278C:p.E426D,IGSF3:uc031pnr.1:exon6:c.G1338C:p.E446D;IGSF3:ENST00000318837.6_5:exon6:c.G1338C:p.E446D,IGSF3:ENST00000369486.8_8:exon6:c.G1278C:p.E426D,IGSF3:ENST00000369483.5_5:exon7:c.G1338C:p.E446D</t>
  </si>
  <si>
    <t xml:space="preserve">642.64</t>
  </si>
  <si>
    <t xml:space="preserve">95</t>
  </si>
  <si>
    <t xml:space="preserve">66,29</t>
  </si>
  <si>
    <t xml:space="preserve">IGSF3:NM_001007237:exon4:c.G760A:p.D254N,IGSF3:NM_001542:exon4:c.G760A:p.D254N;IGSF3:uc031pnr.1:exon3:c.G760A:p.D254N,IGSF3:uc001egr.2:exon4:c.G760A:p.D254N;IGSF3:ENST00000318837.6_5:exon3:c.G760A:p.D254N,IGSF3:ENST00000369483.5_5:exon4:c.G760A:p.D254N,IGSF3:ENST00000369486.8_8:exon4:c.G760A:p.D254N</t>
  </si>
  <si>
    <t xml:space="preserve">8/12</t>
  </si>
  <si>
    <t xml:space="preserve">NGS_LowStringency</t>
  </si>
  <si>
    <t xml:space="preserve">255.64</t>
  </si>
  <si>
    <t xml:space="preserve">77</t>
  </si>
  <si>
    <t xml:space="preserve">66,11</t>
  </si>
  <si>
    <t xml:space="preserve">IGSF3:NM_001007237:exon4:c.A635G:p.Q212R,IGSF3:NM_001542:exon4:c.A635G:p.Q212R;IGSF3:uc031pnr.1:exon3:c.A635G:p.Q212R,IGSF3:uc001egr.2:exon4:c.A635G:p.Q212R;IGSF3:ENST00000318837.6_5:exon3:c.A635G:p.Q212R,IGSF3:ENST00000369483.5_5:exon4:c.A635G:p.Q212R,IGSF3:ENST00000369486.8_8:exon4:c.A635G:p.Q212R</t>
  </si>
  <si>
    <t xml:space="preserve">63.64</t>
  </si>
  <si>
    <t xml:space="preserve">67,10</t>
  </si>
  <si>
    <t xml:space="preserve">IGSF3:NM_001007237:exon4:c.A619G:p.S207G,IGSF3:NM_001542:exon4:c.A619G:p.S207G;IGSF3:uc031pnr.1:exon3:c.A619G:p.S207G,IGSF3:uc001egr.2:exon4:c.A619G:p.S207G;IGSF3:ENST00000318837.6_5:exon3:c.A619G:p.S207G,IGSF3:ENST00000369483.5_5:exon4:c.A619G:p.S207G,IGSF3:ENST00000369486.8_8:exon4:c.A619G:p.S207G</t>
  </si>
  <si>
    <t xml:space="preserve">261.64</t>
  </si>
  <si>
    <t xml:space="preserve">15</t>
  </si>
  <si>
    <t xml:space="preserve">7,8</t>
  </si>
  <si>
    <t xml:space="preserve">TCHHL1:NM_001008536:exon2:c.C56G:p.A19G;TCHHL1:uc001ezo.1:exon2:c.C56G:p.A19G;TCHHL1:ENST00000368806.2_5:exon2:c.C56G:p.A19G</t>
  </si>
  <si>
    <t xml:space="preserve">2.23453010094714e-08</t>
  </si>
  <si>
    <t xml:space="preserve">trichohyalin like 1</t>
  </si>
  <si>
    <t xml:space="preserve">1115.64</t>
  </si>
  <si>
    <t xml:space="preserve">79</t>
  </si>
  <si>
    <t xml:space="preserve">45,34</t>
  </si>
  <si>
    <t xml:space="preserve">TMEM79:NM_032323:exon2:c.A431G:p.D144G;TMEM79:uc009wrw.3:exon2:c.A431G:p.D144G,TMEM79:uc010phi.2:exon2:c.A431G:p.D144G;TMEM79:ENST00000295694.9_5:exon2:c.A431G:p.D144G,TMEM79:ENST00000405535.3_6:exon2:c.A431G:p.D144G</t>
  </si>
  <si>
    <t xml:space="preserve">3.49884123421551e-07</t>
  </si>
  <si>
    <t xml:space="preserve">transmembrane protein 79</t>
  </si>
  <si>
    <t xml:space="preserve">FUNCTION: Contributes to the epidermal integrity and skin barrier function. Plays a role in the lamellar granule (LG) secretory system and in the stratum corneum (SC) epithelial cell formation (By similarity). {ECO:0000250}.; </t>
  </si>
  <si>
    <t xml:space="preserve">687.64</t>
  </si>
  <si>
    <t xml:space="preserve">43</t>
  </si>
  <si>
    <t xml:space="preserve">17,26</t>
  </si>
  <si>
    <t xml:space="preserve">NR1I3:NM_001077472:exon6:c.T707C:p.M236T,NR1I3:NM_001077473:exon6:c.T719C:p.M240T,NR1I3:NM_001077476:exon6:c.T707C:p.M236T,NR1I3:NM_001077477:exon6:c.T707C:p.M236T,NR1I3:NM_001077479:exon6:c.T707C:p.M236T,NR1I3:NM_001077469:exon7:c.T794C:p.M265T,NR1I3:NM_001077478:exon7:c.T806C:p.M269T,NR1I3:NM_001077480:exon7:c.T806C:p.M269T,NR1I3:NM_001077482:exon7:c.T806C:p.M269T,NR1I3:NM_005122:exon7:c.T794C:p.M265T;NR1I3:uc001fzo.3:exon5:c.T293C:p.M98T,NR1I3:uc001fzg.3:exon6:c.T707C:p.M236T,NR1I3:uc001fzh.3:exon6:c.T707C:p.M236T,NR1I3:uc001fzi.3:exon6:c.T707C:p.M236T,NR1I3:uc001fzj.3:exon6:c.T707C:p.M236T,NR1I3:uc001gac.3:exon6:c.T719C:p.M240T,NR1I3:uc009wug.3:exon6:c.T293C:p.M98T,NR1I3:uc010pkm.2:exon6:c.T707C:p.M236T,NR1I3:uc021pbw.1:exon6:c.T794C:p.M265T,NR1I3:uc001fzf.3:exon7:c.T794C:p.M265T,NR1I3:uc001fzm.3:exon7:c.T569C:p.M190T,NR1I3:uc001fzp.3:exon7:c.T806C:p.M269T,NR1I3:uc001fzw.3:exon7:c.T806C:p.M269T,NR1I3:uc001fzx.3:exon7:c.T806C:p.M269T,NR1I3:uc001fzy.3:exon7:c.T794C:p.M265T;NR1I3:ENST00000367979.6_4:exon6:c.T806C:p.M269T,NR1I3:ENST00000367981.7_3:exon6:c.T707C:p.M236T,NR1I3:ENST00000412844.6_3:exon6:c.T719C:p.M240T,NR1I3:ENST00000437437.6_3:exon6:c.T707C:p.M236T,NR1I3:ENST00000506209.5_3:exon6:c.T707C:p.M236T,NR1I3:ENST00000508740.5_3:exon6:c.T707C:p.M236T,NR1I3:ENST00000511676.5_3:exon6:c.T707C:p.M236T,NR1I3:ENST00000367980.6_4:exon7:c.T806C:p.M269T,NR1I3:ENST00000367982.8_5:exon7:c.T806C:p.M269T,NR1I3:ENST00000367983.9_8:exon7:c.T794C:p.M265T,NR1I3:ENST00000428574.6_3:exon7:c.T794C:p.M265T,NR1I3:ENST00000442691.6_3:exon7:c.T806C:p.M269T,NR1I3:ENST00000515621.5_3:exon7:c.T569C:p.M190T</t>
  </si>
  <si>
    <t xml:space="preserve">0.000355219683159767</t>
  </si>
  <si>
    <t xml:space="preserve">nuclear receptor subfamily 1 group I member 3</t>
  </si>
  <si>
    <t xml:space="preserve">FUNCTION: Binds and transactivates the retinoic acid response elements that control expression of the retinoic acid receptor beta 2 and alcohol dehydrogenase 3 genes. Transactivates both the phenobarbital responsive element module of the human CYP2B6 gene and the CYP3A4 xenobiotic response element.; </t>
  </si>
  <si>
    <t xml:space="preserve">1879.64</t>
  </si>
  <si>
    <t xml:space="preserve">96</t>
  </si>
  <si>
    <t xml:space="preserve">36,60</t>
  </si>
  <si>
    <t xml:space="preserve">POGK:NM_001314014:exon3:c.G495T:p.E165D,POGK:NM_017542:exon5:c.G849T:p.E283D;POGK:uc010plf.1:exon3:c.G495T:p.E165D,POGK:uc010ple.1:exon4:c.G594T:p.E198D,POGK:uc001gdt.1:exon5:c.G849T:p.E283D;POGK:ENST00000367875.1_1:exon5:c.G849T:p.E283D,POGK:ENST00000367876.9_3:exon5:c.G849T:p.E283D</t>
  </si>
  <si>
    <t xml:space="preserve">0.917279174747958</t>
  </si>
  <si>
    <t xml:space="preserve">pogo transposable element with KRAB domain</t>
  </si>
  <si>
    <t xml:space="preserve">349.64</t>
  </si>
  <si>
    <t xml:space="preserve">LGR6:NM_001017404:exon16:c.C2341A:p.P781T,LGR6:NM_001017403:exon18:c.C2758A:p.P920T,LGR6:NM_021636:exon18:c.C2602A:p.P868T;LGR6:uc001gxw.3:exon16:c.C2341A:p.P781T,LGR6:uc001gxu.3:exon18:c.C2758A:p.P920T,LGR6:uc001gxv.3:exon18:c.C2602A:p.P868T;LGR6:ENST00000439764.2_1:exon16:c.C2341A:p.P781T,LGR6:ENST00000255432.11_4:exon18:c.C2602A:p.P868T,LGR6:ENST00000367278.8_6:exon18:c.C2758A:p.P920T</t>
  </si>
  <si>
    <t xml:space="preserve">4.08845719461255e-05</t>
  </si>
  <si>
    <t xml:space="preserve">leucine-rich repeat containing G protein-coupled receptor 6</t>
  </si>
  <si>
    <t xml:space="preserve">FUNCTION: Receptor for R-spondins that potentiates the canonical Wnt signaling pathway and acts as a marker of multipotent stem cells in the epidermis. Upon binding to R-spondins (RSPO1, RSPO2, RSPO3 or RSPO4), associates with phosphorylated LRP6 and frizzled receptors that are activated by extracellular Wnt receptors, triggering the canonical Wnt signaling pathway to increase expression of target genes. In contrast to classical G-protein coupled receptors, does not activate heterotrimeric G-proteins to transduce the signal. May act as a tumor suppressor. {ECO:0000269|PubMed:21727895, ECO:0000269|PubMed:22615920}.; </t>
  </si>
  <si>
    <t xml:space="preserve">591.64</t>
  </si>
  <si>
    <t xml:space="preserve">21,21</t>
  </si>
  <si>
    <t xml:space="preserve">MYOG:NM_002479:exon2:c.G541A:p.A181T;MYOG:uc001gzd.4:exon2:c.G541A:p.A181T;MYOG:ENST00000241651.5_5:exon2:c.G541A:p.A181T</t>
  </si>
  <si>
    <t xml:space="preserve">0.740012060346863</t>
  </si>
  <si>
    <t xml:space="preserve">myogenin (myogenic factor 4)</t>
  </si>
  <si>
    <t xml:space="preserve">FUNCTION: Acts as a transcriptional activator that promotes transcription of muscle-specific target genes and plays a role in muscle differentiation, cell cycle exit and muscle atrophy. Essential for the development of functional embryonic skeletal fiber muscle differentiation. However is dispensable for postnatal skeletal muscle growth; phosphorylation by CAMK2G inhibits its transcriptional activity in respons to muscle activity. Required for the recruitment of the FACT complex to muscle-specific promoter regions, thus promoting gene expression initiation. During terminal myoblast differentiation, plays a role as a strong activator of transcription at loci with an open chromatin structure previously initiated by MYOD1. Together with MYF5 and MYOD1, co-occupies muscle-specific gene promoter core regions during myogenesis. Cooperates also with myocyte-specific enhancer factor MEF2D and BRG1-dependent recruitment of SWI/SNF chromatin- remodeling enzymes to alter chromatin structure at myogenic late gene promoters. Facilitates cell cycle exit during terminal muscle differentiation through the up-regulation of miR-20a expression, which in turn represses genes involved in cell cycle progression. Binds to the E-box containing (E1) promoter region of the miR-20a gene. Plays also a role in preventing reversal of muscle cell differentiation. Contributes to the atrophy-related gene expression in adult denervated muscles. Induces fibroblasts to differentiate into myoblasts (By similarity). {ECO:0000250}.; </t>
  </si>
  <si>
    <t xml:space="preserve">888.64</t>
  </si>
  <si>
    <t xml:space="preserve">26,28</t>
  </si>
  <si>
    <t xml:space="preserve">IL24:NM_001185158:exon3:c.C106T:p.R36C,IL24:NM_001185156:exon4:c.C305T:p.S102L,IL24:NM_001185157:exon4:c.C305T:p.S102L,IL24:NM_006850:exon4:c.C302T:p.S101L;IL24:uc001hex.2:exon3:c.C106T:p.R36C,IL24:uc001hes.2:exon4:c.C302T:p.S101L,IL24:uc001heu.2:exon4:c.C305T:p.S102L,IL24:uc001hew.2:exon4:c.C305T:p.S102L;IL24:ENST00000611909.4_1:exon3:c.C106T:p.R36C,IL24:ENST00000294984.7_7:exon4:c.C302T:p.S101L,IL24:ENST00000367093.3_1:exon4:c.C305T:p.S102L,IL24:ENST00000391929.7_5:exon4:c.C305T:p.S102L</t>
  </si>
  <si>
    <t xml:space="preserve">0.00271588782691559</t>
  </si>
  <si>
    <t xml:space="preserve">interleukin 24</t>
  </si>
  <si>
    <t xml:space="preserve">FUNCTION: Has antiproliferative properties on melanoma cells and may contribute to terminal cell differentiation.; </t>
  </si>
  <si>
    <t xml:space="preserve">483.64</t>
  </si>
  <si>
    <t xml:space="preserve">13,18</t>
  </si>
  <si>
    <t xml:space="preserve">YOD1:NM_018566:exon1:c.C86T:p.T29I;YOD1:uc001hfe.1:exon1:c.C86T:p.T29I;YOD1:ENST00000315927.9_5:exon1:c.C86T:p.T29I</t>
  </si>
  <si>
    <t xml:space="preserve">4/9</t>
  </si>
  <si>
    <t xml:space="preserve">0.543401293595549</t>
  </si>
  <si>
    <t xml:space="preserve">YOD1 deubiquitinase</t>
  </si>
  <si>
    <t xml:space="preserve">FUNCTION: Hydrolase that can remove conjugated ubiquitin from proteins and participates in endoplasmic reticulum-associated degradation (ERAD) for misfolded lumenal proteins. May act by triming the ubiquitin chain on the associated substrate to facilitate their threading through the VCP/p97 pore. Ubiquitin moieties on substrates may present a steric impediment to the threading process when the substrate is transferred to the VCP pore and threaded through VCP's axial channel. Mediates deubiquitination of 'Lys-27'-, 'Lys-29'- and 'Lys-33'-linked polyubiquitin chains. Also able to hydrolyze 'Lys-11'-linked ubiquitin chains. Cleaves both polyubiquitin and di-ubiquitin. {ECO:0000269|PubMed:19818707, ECO:0000269|PubMed:23827681}.; </t>
  </si>
  <si>
    <t xml:space="preserve">520.64</t>
  </si>
  <si>
    <t xml:space="preserve">55</t>
  </si>
  <si>
    <t xml:space="preserve">36,19</t>
  </si>
  <si>
    <t xml:space="preserve">VIM:NM_003380:exon2:c.C553G:p.L185V;VIM:uc001iou.2:exon2:c.C553G:p.L185V;VIM:ENST00000224237.9_2:exon1:c.C553G:p.L185V,VIM:ENST00000544301.7_5:exon2:c.C553G:p.L185V</t>
  </si>
  <si>
    <t xml:space="preserve">0.959386089206453</t>
  </si>
  <si>
    <t xml:space="preserve">vimentin</t>
  </si>
  <si>
    <t xml:space="preserve">FUNCTION: Vimentins are class-III intermediate filaments found in various non-epithelial cells, especially mesenchymal cells. Vimentin is attached to the nucleus, endoplasmic reticulum, and mitochondria, either laterally or terminally. {ECO:0000269|PubMed:21746880}.; </t>
  </si>
  <si>
    <t xml:space="preserve">DISEASE: Cataract 30 (CTRCT30) [MIM:116300]: An opacification of the crystalline lens of the eye that frequently results in visual impairment or blindness. Opacities vary in morphology, are often confined to a portion of the lens, and may be static or progressive. In general, the more posteriorly located and dense an opacity, the greater the impact on visual function. Note=The disease is caused by mutations affecting the gene represented in this entry.; </t>
  </si>
  <si>
    <t xml:space="preserve">209.64</t>
  </si>
  <si>
    <t xml:space="preserve">10,7</t>
  </si>
  <si>
    <t xml:space="preserve">USP54:NM_001320437:exon4:c.C331G:p.Q111E,USP54:NM_001378208:exon4:c.C331G:p.Q111E,USP54:NM_001378209:exon4:c.C331G:p.Q111E,USP54:NM_001378210:exon4:c.C331G:p.Q111E,USP54:NM_152586:exon4:c.C331G:p.Q111E,USP54:NM_001320441:exon5:c.C331G:p.Q111E,USP54:NM_001350995:exon5:c.C331G:p.Q111E;USP54:uc001juo.3:exon3:c.C331G:p.Q111E,USP54:uc001jup.3:exon4:c.C331G:p.Q111E,USP54:uc010qkl.1:exon5:c.C331G:p.Q111E;USP54:ENST00000339859.8_4:exon4:c.C331G:p.Q111E,USP54:ENST00000422491.7_4:exon4:c.C331G:p.Q111E,USP54:ENST00000680396.1_1:exon4:c.C331G:p.Q111E,USP54:ENST00000681793.1_3:exon4:c.C331G:p.Q111E,USP54:ENST00000687418.1_3:exon4:c.C331G:p.Q111E,USP54:ENST00000687698.1_1:exon5:c.C331G:p.Q111E,USP54:ENST00000689425.1_1:exon5:c.C331G:p.Q111E,USP54:ENST00000691043.1_3:exon5:c.C331G:p.Q111E</t>
  </si>
  <si>
    <t xml:space="preserve">3.94252208286798e-05</t>
  </si>
  <si>
    <t xml:space="preserve">ubiquitin specific peptidase 54</t>
  </si>
  <si>
    <t xml:space="preserve">FUNCTION: Has no peptidase activity.; </t>
  </si>
  <si>
    <t xml:space="preserve">AS3MT:NM_020682:exon5:c.A365G:p.Y122C;AS3MT:uc001kwk.3:exon5:c.A365G:p.Y122C,AS3MT:uc009xxh.3:exon5:c.A365G:p.Y122C,C10orf32-AS3MT:uc001kwj.3:exon9:c.A371G:p.Y124C;AS3MT:ENST00000369880.8_3:exon5:c.A365G:p.Y122C</t>
  </si>
  <si>
    <t xml:space="preserve">5.09137965873753e-07</t>
  </si>
  <si>
    <t xml:space="preserve">arsenite methyltransferase</t>
  </si>
  <si>
    <t xml:space="preserve">FUNCTION: Catalyzes the transfer of a methyl group from AdoMet to trivalent arsenicals producing methylated and dimethylated arsenicals. It methylates arsenite to form methylarsonate, Me- AsO(3)H(2), which is reduced by methylarsonate reductase to methylarsonite, Me-As(OH)2. Methylarsonite is also a substrate and it is converted into the much less toxic compound dimethylarsinate (cacodylate), Me(2)As(O)-OH (By similarity). {ECO:0000250}.; </t>
  </si>
  <si>
    <t xml:space="preserve">54.64</t>
  </si>
  <si>
    <t xml:space="preserve">49,5</t>
  </si>
  <si>
    <t xml:space="preserve">CTBP2:NM_001363508:exon9:c.A1517G:p.N506S,CTBP2:NM_022802:exon9:c.A2933G:p.N978S,CTBP2:NM_001321013:exon10:c.A1313G:p.N438S,CTBP2:NM_001083914:exon11:c.A1313G:p.N438S,CTBP2:NM_001290214:exon11:c.A1313G:p.N438S,CTBP2:NM_001290215:exon11:c.A1313G:p.N438S,CTBP2:NM_001321012:exon11:c.A1313G:p.N438S,CTBP2:NM_001321014:exon11:c.A1313G:p.N438S,CTBP2:NM_001329:exon11:c.A1313G:p.N438S;CTBP2:uc001lid.4:exon9:c.A1517G:p.N506S,CTBP2:uc001lie.4:exon9:c.A2933G:p.N978S,CTBP2:uc001lif.4:exon11:c.A1313G:p.N438S,CTBP2:uc001lih.4:exon11:c.A1313G:p.N438S,CTBP2:uc009yak.3:exon11:c.A1313G:p.N438S,CTBP2:uc009yal.3:exon11:c.A1313G:p.N438S;CTBP2:ENST00000309035.11_5:exon9:c.A2933G:p.N978S,CTBP2:ENST00000334808.10_4:exon9:c.A1517G:p.N506S,CTBP2:ENST00000337195.9_3:exon11:c.A1313G:p.N438S,CTBP2:ENST00000411419.6_3:exon11:c.A1313G:p.N438S,CTBP2:ENST00000494626.6_3:exon11:c.A1313G:p.N438S,CTBP2:ENST00000531469.5_3:exon11:c.A1313G:p.N438S</t>
  </si>
  <si>
    <t xml:space="preserve">5/12</t>
  </si>
  <si>
    <t xml:space="preserve">46</t>
  </si>
  <si>
    <t xml:space="preserve">0.655184958473335</t>
  </si>
  <si>
    <t xml:space="preserve">C-terminal binding protein 2</t>
  </si>
  <si>
    <t xml:space="preserve">FUNCTION: Corepressor targeting diverse transcription regulators. Functions in brown adipose tissue (BAT) differentiation (By similarity). {ECO:0000250}.; </t>
  </si>
  <si>
    <t xml:space="preserve">270.64</t>
  </si>
  <si>
    <t xml:space="preserve">87</t>
  </si>
  <si>
    <t xml:space="preserve">75,12</t>
  </si>
  <si>
    <t xml:space="preserve">CTBP2:NM_001363508:exon5:c.A964C:p.N322H,CTBP2:NM_022802:exon5:c.A2380C:p.N794H,CTBP2:NM_001321013:exon6:c.A760C:p.N254H,CTBP2:NM_001083914:exon7:c.A760C:p.N254H,CTBP2:NM_001290214:exon7:c.A760C:p.N254H,CTBP2:NM_001290215:exon7:c.A760C:p.N254H,CTBP2:NM_001321012:exon7:c.A760C:p.N254H,CTBP2:NM_001321014:exon7:c.A760C:p.N254H,CTBP2:NM_001329:exon7:c.A760C:p.N254H;CTBP2:uc001lid.4:exon5:c.A964C:p.N322H,CTBP2:uc001lie.4:exon5:c.A2380C:p.N794H,CTBP2:uc001lif.4:exon7:c.A760C:p.N254H,CTBP2:uc001lih.4:exon7:c.A760C:p.N254H,CTBP2:uc009yak.3:exon7:c.A760C:p.N254H,CTBP2:uc009yal.3:exon7:c.A760C:p.N254H;CTBP2:ENST00000309035.11_5:exon5:c.A2380C:p.N794H,CTBP2:ENST00000334808.10_4:exon5:c.A964C:p.N322H,CTBP2:ENST00000337195.9_3:exon7:c.A760C:p.N254H,CTBP2:ENST00000411419.6_3:exon7:c.A760C:p.N254H,CTBP2:ENST00000494626.6_3:exon7:c.A760C:p.N254H,CTBP2:ENST00000531469.5_3:exon7:c.A760C:p.N254H</t>
  </si>
  <si>
    <t xml:space="preserve">10/12</t>
  </si>
  <si>
    <t xml:space="preserve">711.64</t>
  </si>
  <si>
    <t xml:space="preserve">105</t>
  </si>
  <si>
    <t xml:space="preserve">82,23</t>
  </si>
  <si>
    <t xml:space="preserve">CTBP2:NM_001363508:exon5:c.C952T:p.H318Y,CTBP2:NM_022802:exon5:c.C2368T:p.H790Y,CTBP2:NM_001321013:exon6:c.C748T:p.H250Y,CTBP2:NM_001083914:exon7:c.C748T:p.H250Y,CTBP2:NM_001290214:exon7:c.C748T:p.H250Y,CTBP2:NM_001290215:exon7:c.C748T:p.H250Y,CTBP2:NM_001321012:exon7:c.C748T:p.H250Y,CTBP2:NM_001321014:exon7:c.C748T:p.H250Y,CTBP2:NM_001329:exon7:c.C748T:p.H250Y;CTBP2:uc001lid.4:exon5:c.C952T:p.H318Y,CTBP2:uc001lie.4:exon5:c.C2368T:p.H790Y,CTBP2:uc001lif.4:exon7:c.C748T:p.H250Y,CTBP2:uc001lih.4:exon7:c.C748T:p.H250Y,CTBP2:uc009yak.3:exon7:c.C748T:p.H250Y,CTBP2:uc009yal.3:exon7:c.C748T:p.H250Y;CTBP2:ENST00000309035.11_5:exon5:c.C2368T:p.H790Y,CTBP2:ENST00000334808.10_4:exon5:c.C952T:p.H318Y,CTBP2:ENST00000337195.9_3:exon7:c.C748T:p.H250Y,CTBP2:ENST00000411419.6_3:exon7:c.C748T:p.H250Y,CTBP2:ENST00000494626.6_3:exon7:c.C748T:p.H250Y,CTBP2:ENST00000531469.5_3:exon7:c.C748T:p.H250Y</t>
  </si>
  <si>
    <t xml:space="preserve">624.64</t>
  </si>
  <si>
    <t xml:space="preserve">104</t>
  </si>
  <si>
    <t xml:space="preserve">83,21</t>
  </si>
  <si>
    <t xml:space="preserve">CTBP2:NM_001363508:exon5:c.C951G:p.N317K,CTBP2:NM_022802:exon5:c.C2367G:p.N789K,CTBP2:NM_001321013:exon6:c.C747G:p.N249K,CTBP2:NM_001083914:exon7:c.C747G:p.N249K,CTBP2:NM_001290214:exon7:c.C747G:p.N249K,CTBP2:NM_001290215:exon7:c.C747G:p.N249K,CTBP2:NM_001321012:exon7:c.C747G:p.N249K,CTBP2:NM_001321014:exon7:c.C747G:p.N249K,CTBP2:NM_001329:exon7:c.C747G:p.N249K;CTBP2:uc001lid.4:exon5:c.C951G:p.N317K,CTBP2:uc001lie.4:exon5:c.C2367G:p.N789K,CTBP2:uc001lif.4:exon7:c.C747G:p.N249K,CTBP2:uc001lih.4:exon7:c.C747G:p.N249K,CTBP2:uc009yak.3:exon7:c.C747G:p.N249K,CTBP2:uc009yal.3:exon7:c.C747G:p.N249K;CTBP2:ENST00000309035.11_5:exon5:c.C2367G:p.N789K,CTBP2:ENST00000334808.10_4:exon5:c.C951G:p.N317K,CTBP2:ENST00000337195.9_3:exon7:c.C747G:p.N249K,CTBP2:ENST00000411419.6_3:exon7:c.C747G:p.N249K,CTBP2:ENST00000494626.6_3:exon7:c.C747G:p.N249K,CTBP2:ENST00000531469.5_3:exon7:c.C747G:p.N249K</t>
  </si>
  <si>
    <t xml:space="preserve">708.64</t>
  </si>
  <si>
    <t xml:space="preserve">106</t>
  </si>
  <si>
    <t xml:space="preserve">83,23</t>
  </si>
  <si>
    <t xml:space="preserve">CTBP2:NM_001363508:exon5:c.T948A:p.H316Q,CTBP2:NM_022802:exon5:c.T2364A:p.H788Q,CTBP2:NM_001321013:exon6:c.T744A:p.H248Q,CTBP2:NM_001083914:exon7:c.T744A:p.H248Q,CTBP2:NM_001290214:exon7:c.T744A:p.H248Q,CTBP2:NM_001290215:exon7:c.T744A:p.H248Q,CTBP2:NM_001321012:exon7:c.T744A:p.H248Q,CTBP2:NM_001321014:exon7:c.T744A:p.H248Q,CTBP2:NM_001329:exon7:c.T744A:p.H248Q;CTBP2:uc001lid.4:exon5:c.T948A:p.H316Q,CTBP2:uc001lie.4:exon5:c.T2364A:p.H788Q,CTBP2:uc001lif.4:exon7:c.T744A:p.H248Q,CTBP2:uc001lih.4:exon7:c.T744A:p.H248Q,CTBP2:uc009yak.3:exon7:c.T744A:p.H248Q,CTBP2:uc009yal.3:exon7:c.T744A:p.H248Q;CTBP2:ENST00000309035.11_5:exon5:c.T2364A:p.H788Q,CTBP2:ENST00000334808.10_4:exon5:c.T948A:p.H316Q,CTBP2:ENST00000337195.9_3:exon7:c.T744A:p.H248Q,CTBP2:ENST00000411419.6_3:exon7:c.T744A:p.H248Q,CTBP2:ENST00000494626.6_3:exon7:c.T744A:p.H248Q,CTBP2:ENST00000531469.5_3:exon7:c.T744A:p.H248Q</t>
  </si>
  <si>
    <t xml:space="preserve">212.64</t>
  </si>
  <si>
    <t xml:space="preserve">110</t>
  </si>
  <si>
    <t xml:space="preserve">96,14</t>
  </si>
  <si>
    <t xml:space="preserve">CTBP2:NM_001363508:exon5:c.A947T:p.H316L,CTBP2:NM_022802:exon5:c.A2363T:p.H788L,CTBP2:NM_001321013:exon6:c.A743T:p.H248L,CTBP2:NM_001083914:exon7:c.A743T:p.H248L,CTBP2:NM_001290214:exon7:c.A743T:p.H248L,CTBP2:NM_001290215:exon7:c.A743T:p.H248L,CTBP2:NM_001321012:exon7:c.A743T:p.H248L,CTBP2:NM_001321014:exon7:c.A743T:p.H248L,CTBP2:NM_001329:exon7:c.A743T:p.H248L;CTBP2:uc001lid.4:exon5:c.A947T:p.H316L,CTBP2:uc001lie.4:exon5:c.A2363T:p.H788L,CTBP2:uc001lif.4:exon7:c.A743T:p.H248L,CTBP2:uc001lih.4:exon7:c.A743T:p.H248L,CTBP2:uc009yak.3:exon7:c.A743T:p.H248L,CTBP2:uc009yal.3:exon7:c.A743T:p.H248L;CTBP2:ENST00000309035.11_5:exon5:c.A2363T:p.H788L,CTBP2:ENST00000334808.10_4:exon5:c.A947T:p.H316L,CTBP2:ENST00000337195.9_3:exon7:c.A743T:p.H248L,CTBP2:ENST00000411419.6_3:exon7:c.A743T:p.H248L,CTBP2:ENST00000494626.6_3:exon7:c.A743T:p.H248L,CTBP2:ENST00000531469.5_3:exon7:c.A743T:p.H248L</t>
  </si>
  <si>
    <t xml:space="preserve">678.64</t>
  </si>
  <si>
    <t xml:space="preserve">123</t>
  </si>
  <si>
    <t xml:space="preserve">99,24</t>
  </si>
  <si>
    <t xml:space="preserve">CTBP2:NM_001363508:exon5:c.A935G:p.N312S,CTBP2:NM_022802:exon5:c.A2351G:p.N784S,CTBP2:NM_001321013:exon6:c.A731G:p.N244S,CTBP2:NM_001083914:exon7:c.A731G:p.N244S,CTBP2:NM_001290214:exon7:c.A731G:p.N244S,CTBP2:NM_001290215:exon7:c.A731G:p.N244S,CTBP2:NM_001321012:exon7:c.A731G:p.N244S,CTBP2:NM_001321014:exon7:c.A731G:p.N244S,CTBP2:NM_001329:exon7:c.A731G:p.N244S;CTBP2:uc001lid.4:exon5:c.A935G:p.N312S,CTBP2:uc001lie.4:exon5:c.A2351G:p.N784S,CTBP2:uc001lif.4:exon7:c.A731G:p.N244S,CTBP2:uc001lih.4:exon7:c.A731G:p.N244S,CTBP2:uc009yak.3:exon7:c.A731G:p.N244S,CTBP2:uc009yal.3:exon7:c.A731G:p.N244S;CTBP2:ENST00000309035.11_5:exon5:c.A2351G:p.N784S,CTBP2:ENST00000334808.10_4:exon5:c.A935G:p.N312S,CTBP2:ENST00000337195.9_3:exon7:c.A731G:p.N244S,CTBP2:ENST00000411419.6_3:exon7:c.A731G:p.N244S,CTBP2:ENST00000494626.6_3:exon7:c.A731G:p.N244S,CTBP2:ENST00000531469.5_3:exon7:c.A731G:p.N244S</t>
  </si>
  <si>
    <t xml:space="preserve">1371.64</t>
  </si>
  <si>
    <t xml:space="preserve">131</t>
  </si>
  <si>
    <t xml:space="preserve">90,41</t>
  </si>
  <si>
    <t xml:space="preserve">CTBP2:NM_001363508:exon5:c.C923T:p.S308F,CTBP2:NM_022802:exon5:c.C2339T:p.S780F,CTBP2:NM_001321013:exon6:c.C719T:p.S240F,CTBP2:NM_001083914:exon7:c.C719T:p.S240F,CTBP2:NM_001290214:exon7:c.C719T:p.S240F,CTBP2:NM_001290215:exon7:c.C719T:p.S240F,CTBP2:NM_001321012:exon7:c.C719T:p.S240F,CTBP2:NM_001321014:exon7:c.C719T:p.S240F,CTBP2:NM_001329:exon7:c.C719T:p.S240F;CTBP2:uc001lid.4:exon5:c.C923T:p.S308F,CTBP2:uc001lie.4:exon5:c.C2339T:p.S780F,CTBP2:uc001lif.4:exon7:c.C719T:p.S240F,CTBP2:uc001lih.4:exon7:c.C719T:p.S240F,CTBP2:uc009yak.3:exon7:c.C719T:p.S240F,CTBP2:uc009yal.3:exon7:c.C719T:p.S240F;CTBP2:ENST00000309035.11_5:exon5:c.C2339T:p.S780F,CTBP2:ENST00000334808.10_4:exon5:c.C923T:p.S308F,CTBP2:ENST00000337195.9_3:exon7:c.C719T:p.S240F,CTBP2:ENST00000411419.6_3:exon7:c.C719T:p.S240F,CTBP2:ENST00000494626.6_3:exon7:c.C719T:p.S240F,CTBP2:ENST00000531469.5_3:exon7:c.C719T:p.S240F</t>
  </si>
  <si>
    <t xml:space="preserve">246.64</t>
  </si>
  <si>
    <t xml:space="preserve">144</t>
  </si>
  <si>
    <t xml:space="preserve">123,21</t>
  </si>
  <si>
    <t xml:space="preserve">CTBP2:NM_001363508:exon5:c.G919A:p.V307I,CTBP2:NM_022802:exon5:c.G2335A:p.V779I,CTBP2:NM_001321013:exon6:c.G715A:p.V239I,CTBP2:NM_001083914:exon7:c.G715A:p.V239I,CTBP2:NM_001290214:exon7:c.G715A:p.V239I,CTBP2:NM_001290215:exon7:c.G715A:p.V239I,CTBP2:NM_001321012:exon7:c.G715A:p.V239I,CTBP2:NM_001321014:exon7:c.G715A:p.V239I,CTBP2:NM_001329:exon7:c.G715A:p.V239I;CTBP2:uc001lid.4:exon5:c.G919A:p.V307I,CTBP2:uc001lie.4:exon5:c.G2335A:p.V779I,CTBP2:uc001lif.4:exon7:c.G715A:p.V239I,CTBP2:uc001lih.4:exon7:c.G715A:p.V239I,CTBP2:uc009yak.3:exon7:c.G715A:p.V239I,CTBP2:uc009yal.3:exon7:c.G715A:p.V239I;CTBP2:ENST00000309035.11_5:exon5:c.G2335A:p.V779I,CTBP2:ENST00000334808.10_4:exon5:c.G919A:p.V307I,CTBP2:ENST00000337195.9_3:exon7:c.G715A:p.V239I,CTBP2:ENST00000411419.6_3:exon7:c.G715A:p.V239I,CTBP2:ENST00000494626.6_3:exon7:c.G715A:p.V239I,CTBP2:ENST00000531469.5_3:exon7:c.G715A:p.V239I</t>
  </si>
  <si>
    <t xml:space="preserve">1133.64</t>
  </si>
  <si>
    <t xml:space="preserve">147</t>
  </si>
  <si>
    <t xml:space="preserve">94,53</t>
  </si>
  <si>
    <t xml:space="preserve">CTBP2:NM_001363508:exon5:c.G911A:p.S304N,CTBP2:NM_022802:exon5:c.G2327A:p.S776N,CTBP2:NM_001321013:exon6:c.G707A:p.S236N,CTBP2:NM_001083914:exon7:c.G707A:p.S236N,CTBP2:NM_001290214:exon7:c.G707A:p.S236N,CTBP2:NM_001290215:exon7:c.G707A:p.S236N,CTBP2:NM_001321012:exon7:c.G707A:p.S236N,CTBP2:NM_001321014:exon7:c.G707A:p.S236N,CTBP2:NM_001329:exon7:c.G707A:p.S236N;CTBP2:uc001lid.4:exon5:c.G911A:p.S304N,CTBP2:uc001lie.4:exon5:c.G2327A:p.S776N,CTBP2:uc001lif.4:exon7:c.G707A:p.S236N,CTBP2:uc001lih.4:exon7:c.G707A:p.S236N,CTBP2:uc009yak.3:exon7:c.G707A:p.S236N,CTBP2:uc009yal.3:exon7:c.G707A:p.S236N;CTBP2:ENST00000309035.11_5:exon5:c.G2327A:p.S776N,CTBP2:ENST00000334808.10_4:exon5:c.G911A:p.S304N,CTBP2:ENST00000337195.9_3:exon7:c.G707A:p.S236N,CTBP2:ENST00000411419.6_3:exon7:c.G707A:p.S236N,CTBP2:ENST00000494626.6_3:exon7:c.G707A:p.S236N,CTBP2:ENST00000531469.5_3:exon7:c.G707A:p.S236N</t>
  </si>
  <si>
    <t xml:space="preserve">11/12</t>
  </si>
  <si>
    <t xml:space="preserve">961.64</t>
  </si>
  <si>
    <t xml:space="preserve">155</t>
  </si>
  <si>
    <t xml:space="preserve">117,38</t>
  </si>
  <si>
    <t xml:space="preserve">CTBP2:NM_001363508:exon5:c.T899G:p.L300W,CTBP2:NM_022802:exon5:c.T2315G:p.L772W,CTBP2:NM_001321013:exon6:c.T695G:p.L232W,CTBP2:NM_001083914:exon7:c.T695G:p.L232W,CTBP2:NM_001290214:exon7:c.T695G:p.L232W,CTBP2:NM_001290215:exon7:c.T695G:p.L232W,CTBP2:NM_001321012:exon7:c.T695G:p.L232W,CTBP2:NM_001321014:exon7:c.T695G:p.L232W,CTBP2:NM_001329:exon7:c.T695G:p.L232W;CTBP2:uc001lid.4:exon5:c.T899G:p.L300W,CTBP2:uc001lie.4:exon5:c.T2315G:p.L772W,CTBP2:uc001lif.4:exon7:c.T695G:p.L232W,CTBP2:uc001lih.4:exon7:c.T695G:p.L232W,CTBP2:uc009yak.3:exon7:c.T695G:p.L232W,CTBP2:uc009yal.3:exon7:c.T695G:p.L232W;CTBP2:ENST00000309035.11_5:exon5:c.T2315G:p.L772W,CTBP2:ENST00000334808.10_4:exon5:c.T899G:p.L300W,CTBP2:ENST00000337195.9_3:exon7:c.T695G:p.L232W,CTBP2:ENST00000411419.6_3:exon7:c.T695G:p.L232W,CTBP2:ENST00000494626.6_3:exon7:c.T695G:p.L232W,CTBP2:ENST00000531469.5_3:exon7:c.T695G:p.L232W</t>
  </si>
  <si>
    <t xml:space="preserve">1357.64</t>
  </si>
  <si>
    <t xml:space="preserve">158</t>
  </si>
  <si>
    <t xml:space="preserve">96,62</t>
  </si>
  <si>
    <t xml:space="preserve">CTBP2:NM_001363508:exon5:c.T890A:p.L297Q,CTBP2:NM_022802:exon5:c.T2306A:p.L769Q,CTBP2:NM_001321013:exon6:c.T686A:p.L229Q,CTBP2:NM_001083914:exon7:c.T686A:p.L229Q,CTBP2:NM_001290214:exon7:c.T686A:p.L229Q,CTBP2:NM_001290215:exon7:c.T686A:p.L229Q,CTBP2:NM_001321012:exon7:c.T686A:p.L229Q,CTBP2:NM_001321014:exon7:c.T686A:p.L229Q,CTBP2:NM_001329:exon7:c.T686A:p.L229Q;CTBP2:uc001lid.4:exon5:c.T890A:p.L297Q,CTBP2:uc001lie.4:exon5:c.T2306A:p.L769Q,CTBP2:uc001lif.4:exon7:c.T686A:p.L229Q,CTBP2:uc001lih.4:exon7:c.T686A:p.L229Q,CTBP2:uc009yak.3:exon7:c.T686A:p.L229Q,CTBP2:uc009yal.3:exon7:c.T686A:p.L229Q;CTBP2:ENST00000309035.11_5:exon5:c.T2306A:p.L769Q,CTBP2:ENST00000334808.10_4:exon5:c.T890A:p.L297Q,CTBP2:ENST00000337195.9_3:exon7:c.T686A:p.L229Q,CTBP2:ENST00000411419.6_3:exon7:c.T686A:p.L229Q,CTBP2:ENST00000494626.6_3:exon7:c.T686A:p.L229Q,CTBP2:ENST00000531469.5_3:exon7:c.T686A:p.L229Q</t>
  </si>
  <si>
    <t xml:space="preserve">2209.64</t>
  </si>
  <si>
    <t xml:space="preserve">169</t>
  </si>
  <si>
    <t xml:space="preserve">108,61</t>
  </si>
  <si>
    <t xml:space="preserve">CTBP2:NM_001363508:exon5:c.G876T:p.Q292H,CTBP2:NM_022802:exon5:c.G2292T:p.Q764H,CTBP2:NM_001321013:exon6:c.G672T:p.Q224H,CTBP2:NM_001083914:exon7:c.G672T:p.Q224H,CTBP2:NM_001290214:exon7:c.G672T:p.Q224H,CTBP2:NM_001290215:exon7:c.G672T:p.Q224H,CTBP2:NM_001321012:exon7:c.G672T:p.Q224H,CTBP2:NM_001321014:exon7:c.G672T:p.Q224H,CTBP2:NM_001329:exon7:c.G672T:p.Q224H;CTBP2:uc001lid.4:exon5:c.G876T:p.Q292H,CTBP2:uc001lie.4:exon5:c.G2292T:p.Q764H,CTBP2:uc001lif.4:exon7:c.G672T:p.Q224H,CTBP2:uc001lih.4:exon7:c.G672T:p.Q224H,CTBP2:uc009yak.3:exon7:c.G672T:p.Q224H,CTBP2:uc009yal.3:exon7:c.G672T:p.Q224H;CTBP2:ENST00000309035.11_5:exon5:c.G2292T:p.Q764H,CTBP2:ENST00000334808.10_4:exon5:c.G876T:p.Q292H,CTBP2:ENST00000337195.9_3:exon7:c.G672T:p.Q224H,CTBP2:ENST00000411419.6_3:exon7:c.G672T:p.Q224H,CTBP2:ENST00000494626.6_3:exon7:c.G672T:p.Q224H,CTBP2:ENST00000531469.5_3:exon7:c.G672T:p.Q224H</t>
  </si>
  <si>
    <t xml:space="preserve">1416.64</t>
  </si>
  <si>
    <t xml:space="preserve">CTBP2:NM_001363508:exon5:c.G871A:p.V291M,CTBP2:NM_022802:exon5:c.G2287A:p.V763M,CTBP2:NM_001321013:exon6:c.G667A:p.V223M,CTBP2:NM_001083914:exon7:c.G667A:p.V223M,CTBP2:NM_001290214:exon7:c.G667A:p.V223M,CTBP2:NM_001290215:exon7:c.G667A:p.V223M,CTBP2:NM_001321012:exon7:c.G667A:p.V223M,CTBP2:NM_001321014:exon7:c.G667A:p.V223M,CTBP2:NM_001329:exon7:c.G667A:p.V223M;CTBP2:uc001lid.4:exon5:c.G871A:p.V291M,CTBP2:uc001lie.4:exon5:c.G2287A:p.V763M,CTBP2:uc001lif.4:exon7:c.G667A:p.V223M,CTBP2:uc001lih.4:exon7:c.G667A:p.V223M,CTBP2:uc009yak.3:exon7:c.G667A:p.V223M,CTBP2:uc009yal.3:exon7:c.G667A:p.V223M;CTBP2:ENST00000309035.11_5:exon5:c.G2287A:p.V763M,CTBP2:ENST00000334808.10_4:exon5:c.G871A:p.V291M,CTBP2:ENST00000337195.9_3:exon7:c.G667A:p.V223M,CTBP2:ENST00000411419.6_3:exon7:c.G667A:p.V223M,CTBP2:ENST00000494626.6_3:exon7:c.G667A:p.V223M,CTBP2:ENST00000531469.5_3:exon7:c.G667A:p.V223M</t>
  </si>
  <si>
    <t xml:space="preserve">1392.64</t>
  </si>
  <si>
    <t xml:space="preserve">121,47</t>
  </si>
  <si>
    <t xml:space="preserve">CTBP2:NM_001363508:exon5:c.G860A:p.R287Q,CTBP2:NM_022802:exon5:c.G2276A:p.R759Q,CTBP2:NM_001321013:exon6:c.G656A:p.R219Q,CTBP2:NM_001083914:exon7:c.G656A:p.R219Q,CTBP2:NM_001290214:exon7:c.G656A:p.R219Q,CTBP2:NM_001290215:exon7:c.G656A:p.R219Q,CTBP2:NM_001321012:exon7:c.G656A:p.R219Q,CTBP2:NM_001321014:exon7:c.G656A:p.R219Q,CTBP2:NM_001329:exon7:c.G656A:p.R219Q;CTBP2:uc001lid.4:exon5:c.G860A:p.R287Q,CTBP2:uc001lie.4:exon5:c.G2276A:p.R759Q,CTBP2:uc001lif.4:exon7:c.G656A:p.R219Q,CTBP2:uc001lih.4:exon7:c.G656A:p.R219Q,CTBP2:uc009yak.3:exon7:c.G656A:p.R219Q,CTBP2:uc009yal.3:exon7:c.G656A:p.R219Q;CTBP2:ENST00000309035.11_5:exon5:c.G2276A:p.R759Q,CTBP2:ENST00000334808.10_4:exon5:c.G860A:p.R287Q,CTBP2:ENST00000337195.9_3:exon7:c.G656A:p.R219Q,CTBP2:ENST00000411419.6_3:exon7:c.G656A:p.R219Q,CTBP2:ENST00000494626.6_3:exon7:c.G656A:p.R219Q,CTBP2:ENST00000531469.5_3:exon7:c.G656A:p.R219Q</t>
  </si>
  <si>
    <t xml:space="preserve">1125.64</t>
  </si>
  <si>
    <t xml:space="preserve">48,37</t>
  </si>
  <si>
    <t xml:space="preserve">CTBP2:NM_001363508:exon5:c.G832T:p.D278Y,CTBP2:NM_022802:exon5:c.G2248T:p.D750Y,CTBP2:NM_001321013:exon6:c.G628T:p.D210Y,CTBP2:NM_001083914:exon7:c.G628T:p.D210Y,CTBP2:NM_001290214:exon7:c.G628T:p.D210Y,CTBP2:NM_001290215:exon7:c.G628T:p.D210Y,CTBP2:NM_001321012:exon7:c.G628T:p.D210Y,CTBP2:NM_001321014:exon7:c.G628T:p.D210Y,CTBP2:NM_001329:exon7:c.G628T:p.D210Y;CTBP2:uc001lid.4:exon5:c.G832T:p.D278Y,CTBP2:uc001lie.4:exon5:c.G2248T:p.D750Y,CTBP2:uc001lif.4:exon7:c.G628T:p.D210Y,CTBP2:uc001lih.4:exon7:c.G628T:p.D210Y,CTBP2:uc009yak.3:exon7:c.G628T:p.D210Y,CTBP2:uc009yal.3:exon7:c.G628T:p.D210Y;CTBP2:ENST00000309035.11_5:exon5:c.G2248T:p.D750Y,CTBP2:ENST00000334808.10_4:exon5:c.G832T:p.D278Y,CTBP2:ENST00000337195.9_3:exon7:c.G628T:p.D210Y,CTBP2:ENST00000411419.6_3:exon7:c.G628T:p.D210Y,CTBP2:ENST00000494626.6_3:exon7:c.G628T:p.D210Y,CTBP2:ENST00000531469.5_3:exon7:c.G628T:p.D210Y</t>
  </si>
  <si>
    <t xml:space="preserve">156.64</t>
  </si>
  <si>
    <t xml:space="preserve">50</t>
  </si>
  <si>
    <t xml:space="preserve">43,7</t>
  </si>
  <si>
    <t xml:space="preserve">CTBP2:NM_001363508:exon5:c.C785A:p.A262E,CTBP2:NM_022802:exon5:c.C2201A:p.A734E,CTBP2:NM_001321013:exon6:c.C581A:p.A194E,CTBP2:NM_001083914:exon7:c.C581A:p.A194E,CTBP2:NM_001290214:exon7:c.C581A:p.A194E,CTBP2:NM_001290215:exon7:c.C581A:p.A194E,CTBP2:NM_001321012:exon7:c.C581A:p.A194E,CTBP2:NM_001321014:exon7:c.C581A:p.A194E,CTBP2:NM_001329:exon7:c.C581A:p.A194E;CTBP2:uc001lid.4:exon5:c.C785A:p.A262E,CTBP2:uc001lie.4:exon5:c.C2201A:p.A734E,CTBP2:uc001lif.4:exon7:c.C581A:p.A194E,CTBP2:uc001lih.4:exon7:c.C581A:p.A194E,CTBP2:uc009yak.3:exon7:c.C581A:p.A194E,CTBP2:uc009yal.3:exon7:c.C581A:p.A194E;CTBP2:ENST00000309035.11_5:exon5:c.C2201A:p.A734E,CTBP2:ENST00000334808.10_4:exon5:c.C785A:p.A262E,CTBP2:ENST00000337195.9_3:exon7:c.C581A:p.A194E,CTBP2:ENST00000411419.6_3:exon7:c.C581A:p.A194E,CTBP2:ENST00000494626.6_3:exon7:c.C581A:p.A194E,CTBP2:ENST00000531469.5_3:exon7:c.C581A:p.A194E</t>
  </si>
  <si>
    <t xml:space="preserve">153.64</t>
  </si>
  <si>
    <t xml:space="preserve">51</t>
  </si>
  <si>
    <t xml:space="preserve">44,7</t>
  </si>
  <si>
    <t xml:space="preserve">CTBP2:NM_001363508:exon5:c.G779A:p.G260E,CTBP2:NM_022802:exon5:c.G2195A:p.G732E,CTBP2:NM_001321013:exon6:c.G575A:p.G192E,CTBP2:NM_001083914:exon7:c.G575A:p.G192E,CTBP2:NM_001290214:exon7:c.G575A:p.G192E,CTBP2:NM_001290215:exon7:c.G575A:p.G192E,CTBP2:NM_001321012:exon7:c.G575A:p.G192E,CTBP2:NM_001321014:exon7:c.G575A:p.G192E,CTBP2:NM_001329:exon7:c.G575A:p.G192E;CTBP2:uc001lid.4:exon5:c.G779A:p.G260E,CTBP2:uc001lie.4:exon5:c.G2195A:p.G732E,CTBP2:uc001lif.4:exon7:c.G575A:p.G192E,CTBP2:uc001lih.4:exon7:c.G575A:p.G192E,CTBP2:uc009yak.3:exon7:c.G575A:p.G192E,CTBP2:uc009yal.3:exon7:c.G575A:p.G192E;CTBP2:ENST00000309035.11_5:exon5:c.G2195A:p.G732E,CTBP2:ENST00000334808.10_4:exon5:c.G779A:p.G260E,CTBP2:ENST00000337195.9_3:exon7:c.G575A:p.G192E,CTBP2:ENST00000411419.6_3:exon7:c.G575A:p.G192E,CTBP2:ENST00000494626.6_3:exon7:c.G575A:p.G192E,CTBP2:ENST00000531469.5_3:exon7:c.G575A:p.G192E</t>
  </si>
  <si>
    <t xml:space="preserve">CTBP2:NM_001363508:exon5:c.G778C:p.G260R,CTBP2:NM_022802:exon5:c.G2194C:p.G732R,CTBP2:NM_001321013:exon6:c.G574C:p.G192R,CTBP2:NM_001083914:exon7:c.G574C:p.G192R,CTBP2:NM_001290214:exon7:c.G574C:p.G192R,CTBP2:NM_001290215:exon7:c.G574C:p.G192R,CTBP2:NM_001321012:exon7:c.G574C:p.G192R,CTBP2:NM_001321014:exon7:c.G574C:p.G192R,CTBP2:NM_001329:exon7:c.G574C:p.G192R;CTBP2:uc001lid.4:exon5:c.G778C:p.G260R,CTBP2:uc001lie.4:exon5:c.G2194C:p.G732R,CTBP2:uc001lif.4:exon7:c.G574C:p.G192R,CTBP2:uc001lih.4:exon7:c.G574C:p.G192R,CTBP2:uc009yak.3:exon7:c.G574C:p.G192R,CTBP2:uc009yal.3:exon7:c.G574C:p.G192R;CTBP2:ENST00000309035.11_5:exon5:c.G2194C:p.G732R,CTBP2:ENST00000334808.10_4:exon5:c.G778C:p.G260R,CTBP2:ENST00000337195.9_3:exon7:c.G574C:p.G192R,CTBP2:ENST00000411419.6_3:exon7:c.G574C:p.G192R,CTBP2:ENST00000494626.6_3:exon7:c.G574C:p.G192R,CTBP2:ENST00000531469.5_3:exon7:c.G574C:p.G192R</t>
  </si>
  <si>
    <t xml:space="preserve">42.64</t>
  </si>
  <si>
    <t xml:space="preserve">103</t>
  </si>
  <si>
    <t xml:space="preserve">95,8</t>
  </si>
  <si>
    <t xml:space="preserve">CTBP2:NM_001363508:exon4:c.G656C:p.W219S,CTBP2:NM_022802:exon4:c.G2072C:p.W691S,CTBP2:NM_001321013:exon5:c.G452C:p.W151S,CTBP2:NM_001083914:exon6:c.G452C:p.W151S,CTBP2:NM_001290214:exon6:c.G452C:p.W151S,CTBP2:NM_001290215:exon6:c.G452C:p.W151S,CTBP2:NM_001321012:exon6:c.G452C:p.W151S,CTBP2:NM_001321014:exon6:c.G452C:p.W151S,CTBP2:NM_001329:exon6:c.G452C:p.W151S;CTBP2:uc001lid.4:exon4:c.G656C:p.W219S,CTBP2:uc001lie.4:exon4:c.G2072C:p.W691S,CTBP2:uc001lif.4:exon6:c.G452C:p.W151S,CTBP2:uc001lih.4:exon6:c.G452C:p.W151S,CTBP2:uc009yak.3:exon6:c.G452C:p.W151S,CTBP2:uc009yal.3:exon6:c.G452C:p.W151S;CTBP2:ENST00000309035.11_5:exon4:c.G2072C:p.W691S,CTBP2:ENST00000334808.10_4:exon4:c.G656C:p.W219S,CTBP2:ENST00000337195.9_3:exon6:c.G452C:p.W151S,CTBP2:ENST00000411419.6_3:exon6:c.G452C:p.W151S,CTBP2:ENST00000494626.6_3:exon6:c.G452C:p.W151S,CTBP2:ENST00000531469.5_3:exon6:c.G452C:p.W151S</t>
  </si>
  <si>
    <t xml:space="preserve">99</t>
  </si>
  <si>
    <t xml:space="preserve">91,8</t>
  </si>
  <si>
    <t xml:space="preserve">CTBP2:NM_001363508:exon4:c.C653G:p.T218R,CTBP2:NM_022802:exon4:c.C2069G:p.T690R,CTBP2:NM_001321013:exon5:c.C449G:p.T150R,CTBP2:NM_001083914:exon6:c.C449G:p.T150R,CTBP2:NM_001290214:exon6:c.C449G:p.T150R,CTBP2:NM_001290215:exon6:c.C449G:p.T150R,CTBP2:NM_001321012:exon6:c.C449G:p.T150R,CTBP2:NM_001321014:exon6:c.C449G:p.T150R,CTBP2:NM_001329:exon6:c.C449G:p.T150R;CTBP2:uc001lid.4:exon4:c.C653G:p.T218R,CTBP2:uc001lie.4:exon4:c.C2069G:p.T690R,CTBP2:uc001lif.4:exon6:c.C449G:p.T150R,CTBP2:uc001lih.4:exon6:c.C449G:p.T150R,CTBP2:uc009yak.3:exon6:c.C449G:p.T150R,CTBP2:uc009yal.3:exon6:c.C449G:p.T150R;CTBP2:ENST00000309035.11_5:exon4:c.C2069G:p.T690R,CTBP2:ENST00000334808.10_4:exon4:c.C653G:p.T218R,CTBP2:ENST00000337195.9_3:exon6:c.C449G:p.T150R,CTBP2:ENST00000411419.6_3:exon6:c.C449G:p.T150R,CTBP2:ENST00000494626.6_3:exon6:c.C449G:p.T150R,CTBP2:ENST00000531469.5_3:exon6:c.C449G:p.T150R</t>
  </si>
  <si>
    <t xml:space="preserve">6/12</t>
  </si>
  <si>
    <t xml:space="preserve">90</t>
  </si>
  <si>
    <t xml:space="preserve">82,8</t>
  </si>
  <si>
    <t xml:space="preserve">CTBP2:NM_001363508:exon4:c.A646G:p.R216G,CTBP2:NM_022802:exon4:c.A2062G:p.R688G,CTBP2:NM_001321013:exon5:c.A442G:p.R148G,CTBP2:NM_001083914:exon6:c.A442G:p.R148G,CTBP2:NM_001290214:exon6:c.A442G:p.R148G,CTBP2:NM_001290215:exon6:c.A442G:p.R148G,CTBP2:NM_001321012:exon6:c.A442G:p.R148G,CTBP2:NM_001321014:exon6:c.A442G:p.R148G,CTBP2:NM_001329:exon6:c.A442G:p.R148G;CTBP2:uc001lid.4:exon4:c.A646G:p.R216G,CTBP2:uc001lie.4:exon4:c.A2062G:p.R688G,CTBP2:uc001lif.4:exon6:c.A442G:p.R148G,CTBP2:uc001lih.4:exon6:c.A442G:p.R148G,CTBP2:uc009yak.3:exon6:c.A442G:p.R148G,CTBP2:uc009yal.3:exon6:c.A442G:p.R148G;CTBP2:ENST00000309035.11_5:exon4:c.A2062G:p.R688G,CTBP2:ENST00000334808.10_4:exon4:c.A646G:p.R216G,CTBP2:ENST00000337195.9_3:exon6:c.A442G:p.R148G,CTBP2:ENST00000411419.6_3:exon6:c.A442G:p.R148G,CTBP2:ENST00000494626.6_3:exon6:c.A442G:p.R148G,CTBP2:ENST00000531469.5_3:exon6:c.A442G:p.R148G</t>
  </si>
  <si>
    <t xml:space="preserve">84.64</t>
  </si>
  <si>
    <t xml:space="preserve">89</t>
  </si>
  <si>
    <t xml:space="preserve">81,8</t>
  </si>
  <si>
    <t xml:space="preserve">CTBP2:NM_001363508:exon4:c.C643T:p.R215W,CTBP2:NM_022802:exon4:c.C2059T:p.R687W,CTBP2:NM_001321013:exon5:c.C439T:p.R147W,CTBP2:NM_001083914:exon6:c.C439T:p.R147W,CTBP2:NM_001290214:exon6:c.C439T:p.R147W,CTBP2:NM_001290215:exon6:c.C439T:p.R147W,CTBP2:NM_001321012:exon6:c.C439T:p.R147W,CTBP2:NM_001321014:exon6:c.C439T:p.R147W,CTBP2:NM_001329:exon6:c.C439T:p.R147W;CTBP2:uc001lid.4:exon4:c.C643T:p.R215W,CTBP2:uc001lie.4:exon4:c.C2059T:p.R687W,CTBP2:uc001lif.4:exon6:c.C439T:p.R147W,CTBP2:uc001lih.4:exon6:c.C439T:p.R147W,CTBP2:uc009yak.3:exon6:c.C439T:p.R147W,CTBP2:uc009yal.3:exon6:c.C439T:p.R147W;CTBP2:ENST00000309035.11_5:exon4:c.C2059T:p.R687W,CTBP2:ENST00000334808.10_4:exon4:c.C643T:p.R215W,CTBP2:ENST00000337195.9_3:exon6:c.C439T:p.R147W,CTBP2:ENST00000411419.6_3:exon6:c.C439T:p.R147W,CTBP2:ENST00000494626.6_3:exon6:c.C439T:p.R147W,CTBP2:ENST00000531469.5_3:exon6:c.C439T:p.R147W</t>
  </si>
  <si>
    <t xml:space="preserve">36.64</t>
  </si>
  <si>
    <t xml:space="preserve">83,7</t>
  </si>
  <si>
    <t xml:space="preserve">CTBP2:NM_001363508:exon4:c.T622G:p.C208G,CTBP2:NM_022802:exon4:c.T2038G:p.C680G,CTBP2:NM_001321013:exon5:c.T418G:p.C140G,CTBP2:NM_001083914:exon6:c.T418G:p.C140G,CTBP2:NM_001290214:exon6:c.T418G:p.C140G,CTBP2:NM_001290215:exon6:c.T418G:p.C140G,CTBP2:NM_001321012:exon6:c.T418G:p.C140G,CTBP2:NM_001321014:exon6:c.T418G:p.C140G,CTBP2:NM_001329:exon6:c.T418G:p.C140G;CTBP2:uc001lid.4:exon4:c.T622G:p.C208G,CTBP2:uc001lie.4:exon4:c.T2038G:p.C680G,CTBP2:uc001lif.4:exon6:c.T418G:p.C140G,CTBP2:uc001lih.4:exon6:c.T418G:p.C140G,CTBP2:uc009yak.3:exon6:c.T418G:p.C140G,CTBP2:uc009yal.3:exon6:c.T418G:p.C140G;CTBP2:ENST00000309035.11_5:exon4:c.T2038G:p.C680G,CTBP2:ENST00000334808.10_4:exon4:c.T622G:p.C208G,CTBP2:ENST00000337195.9_3:exon6:c.T418G:p.C140G,CTBP2:ENST00000411419.6_3:exon6:c.T418G:p.C140G,CTBP2:ENST00000494626.6_3:exon6:c.T418G:p.C140G,CTBP2:ENST00000531469.5_3:exon6:c.T418G:p.C140G</t>
  </si>
  <si>
    <t xml:space="preserve">CTBP2:NM_001363508:exon4:c.T620C:p.I207T,CTBP2:NM_022802:exon4:c.T2036C:p.I679T,CTBP2:NM_001321013:exon5:c.T416C:p.I139T,CTBP2:NM_001083914:exon6:c.T416C:p.I139T,CTBP2:NM_001290214:exon6:c.T416C:p.I139T,CTBP2:NM_001290215:exon6:c.T416C:p.I139T,CTBP2:NM_001321012:exon6:c.T416C:p.I139T,CTBP2:NM_001321014:exon6:c.T416C:p.I139T,CTBP2:NM_001329:exon6:c.T416C:p.I139T;CTBP2:uc001lid.4:exon4:c.T620C:p.I207T,CTBP2:uc001lie.4:exon4:c.T2036C:p.I679T,CTBP2:uc001lif.4:exon6:c.T416C:p.I139T,CTBP2:uc001lih.4:exon6:c.T416C:p.I139T,CTBP2:uc009yak.3:exon6:c.T416C:p.I139T,CTBP2:uc009yal.3:exon6:c.T416C:p.I139T;CTBP2:ENST00000309035.11_5:exon4:c.T2036C:p.I679T,CTBP2:ENST00000334808.10_4:exon4:c.T620C:p.I207T,CTBP2:ENST00000337195.9_3:exon6:c.T416C:p.I139T,CTBP2:ENST00000411419.6_3:exon6:c.T416C:p.I139T,CTBP2:ENST00000494626.6_3:exon6:c.T416C:p.I139T,CTBP2:ENST00000531469.5_3:exon6:c.T416C:p.I139T</t>
  </si>
  <si>
    <t xml:space="preserve">63</t>
  </si>
  <si>
    <t xml:space="preserve">43,20</t>
  </si>
  <si>
    <t xml:space="preserve">CTBP2:NM_001363508:exon3:c.A516G:p.I172M,CTBP2:NM_022802:exon3:c.A1932G:p.I644M,CTBP2:NM_001321013:exon4:c.A312G:p.I104M,CTBP2:NM_001083914:exon5:c.A312G:p.I104M,CTBP2:NM_001290214:exon5:c.A312G:p.I104M,CTBP2:NM_001290215:exon5:c.A312G:p.I104M,CTBP2:NM_001321012:exon5:c.A312G:p.I104M,CTBP2:NM_001321014:exon5:c.A312G:p.I104M,CTBP2:NM_001329:exon5:c.A312G:p.I104M;CTBP2:uc001lid.4:exon3:c.A516G:p.I172M,CTBP2:uc001lie.4:exon3:c.A1932G:p.I644M,CTBP2:uc001lif.4:exon5:c.A312G:p.I104M,CTBP2:uc001lih.4:exon5:c.A312G:p.I104M,CTBP2:uc009yak.3:exon5:c.A312G:p.I104M,CTBP2:uc009yal.3:exon5:c.A312G:p.I104M;CTBP2:ENST00000309035.11_5:exon3:c.A1932G:p.I644M,CTBP2:ENST00000334808.10_4:exon3:c.A516G:p.I172M,CTBP2:ENST00000337195.9_3:exon5:c.A312G:p.I104M,CTBP2:ENST00000411419.6_3:exon5:c.A312G:p.I104M,CTBP2:ENST00000494626.6_3:exon5:c.A312G:p.I104M,CTBP2:ENST00000531469.5_3:exon5:c.A312G:p.I104M</t>
  </si>
  <si>
    <t xml:space="preserve">684.64</t>
  </si>
  <si>
    <t xml:space="preserve">44,20</t>
  </si>
  <si>
    <t xml:space="preserve">CTBP2:NM_001363508:exon3:c.A514G:p.I172V,CTBP2:NM_022802:exon3:c.A1930G:p.I644V,CTBP2:NM_001321013:exon4:c.A310G:p.I104V,CTBP2:NM_001083914:exon5:c.A310G:p.I104V,CTBP2:NM_001290214:exon5:c.A310G:p.I104V,CTBP2:NM_001290215:exon5:c.A310G:p.I104V,CTBP2:NM_001321012:exon5:c.A310G:p.I104V,CTBP2:NM_001321014:exon5:c.A310G:p.I104V,CTBP2:NM_001329:exon5:c.A310G:p.I104V;CTBP2:uc001lid.4:exon3:c.A514G:p.I172V,CTBP2:uc001lie.4:exon3:c.A1930G:p.I644V,CTBP2:uc001lif.4:exon5:c.A310G:p.I104V,CTBP2:uc001lih.4:exon5:c.A310G:p.I104V,CTBP2:uc009yak.3:exon5:c.A310G:p.I104V,CTBP2:uc009yal.3:exon5:c.A310G:p.I104V;CTBP2:ENST00000309035.11_5:exon3:c.A1930G:p.I644V,CTBP2:ENST00000334808.10_4:exon3:c.A514G:p.I172V,CTBP2:ENST00000337195.9_3:exon5:c.A310G:p.I104V,CTBP2:ENST00000411419.6_3:exon5:c.A310G:p.I104V,CTBP2:ENST00000494626.6_3:exon5:c.A310G:p.I104V,CTBP2:ENST00000531469.5_3:exon5:c.A310G:p.I104V</t>
  </si>
  <si>
    <t xml:space="preserve">384.64</t>
  </si>
  <si>
    <t xml:space="preserve">51,13</t>
  </si>
  <si>
    <t xml:space="preserve">CTBP2:NM_001363508:exon3:c.G512A:p.R171Q,CTBP2:NM_022802:exon3:c.G1928A:p.R643Q,CTBP2:NM_001321013:exon4:c.G308A:p.R103Q,CTBP2:NM_001083914:exon5:c.G308A:p.R103Q,CTBP2:NM_001290214:exon5:c.G308A:p.R103Q,CTBP2:NM_001290215:exon5:c.G308A:p.R103Q,CTBP2:NM_001321012:exon5:c.G308A:p.R103Q,CTBP2:NM_001321014:exon5:c.G308A:p.R103Q,CTBP2:NM_001329:exon5:c.G308A:p.R103Q;CTBP2:uc001lid.4:exon3:c.G512A:p.R171Q,CTBP2:uc001lie.4:exon3:c.G1928A:p.R643Q,CTBP2:uc001lif.4:exon5:c.G308A:p.R103Q,CTBP2:uc001lih.4:exon5:c.G308A:p.R103Q,CTBP2:uc009yak.3:exon5:c.G308A:p.R103Q,CTBP2:uc009yal.3:exon5:c.G308A:p.R103Q;CTBP2:ENST00000309035.11_5:exon3:c.G1928A:p.R643Q,CTBP2:ENST00000334808.10_4:exon3:c.G512A:p.R171Q,CTBP2:ENST00000337195.9_3:exon5:c.G308A:p.R103Q,CTBP2:ENST00000411419.6_3:exon5:c.G308A:p.R103Q,CTBP2:ENST00000494626.6_3:exon5:c.G308A:p.R103Q,CTBP2:ENST00000531469.5_3:exon5:c.G308A:p.R103Q</t>
  </si>
  <si>
    <t xml:space="preserve">64,7</t>
  </si>
  <si>
    <t xml:space="preserve">CTBP2:NM_001363508:exon3:c.C511G:p.R171G,CTBP2:NM_022802:exon3:c.C1927G:p.R643G,CTBP2:NM_001321013:exon4:c.C307G:p.R103G,CTBP2:NM_001083914:exon5:c.C307G:p.R103G,CTBP2:NM_001290214:exon5:c.C307G:p.R103G,CTBP2:NM_001290215:exon5:c.C307G:p.R103G,CTBP2:NM_001321012:exon5:c.C307G:p.R103G,CTBP2:NM_001321014:exon5:c.C307G:p.R103G,CTBP2:NM_001329:exon5:c.C307G:p.R103G;CTBP2:uc001lid.4:exon3:c.C511G:p.R171G,CTBP2:uc001lie.4:exon3:c.C1927G:p.R643G,CTBP2:uc001lif.4:exon5:c.C307G:p.R103G,CTBP2:uc001lih.4:exon5:c.C307G:p.R103G,CTBP2:uc009yak.3:exon5:c.C307G:p.R103G,CTBP2:uc009yal.3:exon5:c.C307G:p.R103G;CTBP2:ENST00000309035.11_5:exon3:c.C1927G:p.R643G,CTBP2:ENST00000334808.10_4:exon3:c.C511G:p.R171G,CTBP2:ENST00000337195.9_3:exon5:c.C307G:p.R103G,CTBP2:ENST00000411419.6_3:exon5:c.C307G:p.R103G,CTBP2:ENST00000494626.6_3:exon5:c.C307G:p.R103G,CTBP2:ENST00000531469.5_3:exon5:c.C307G:p.R103G</t>
  </si>
  <si>
    <t xml:space="preserve">627.64</t>
  </si>
  <si>
    <t xml:space="preserve">49,21</t>
  </si>
  <si>
    <t xml:space="preserve">CTBP2:NM_001363508:exon3:c.G486T:p.K162N,CTBP2:NM_022802:exon3:c.G1902T:p.K634N,CTBP2:NM_001321013:exon4:c.G282T:p.K94N,CTBP2:NM_001083914:exon5:c.G282T:p.K94N,CTBP2:NM_001290214:exon5:c.G282T:p.K94N,CTBP2:NM_001290215:exon5:c.G282T:p.K94N,CTBP2:NM_001321012:exon5:c.G282T:p.K94N,CTBP2:NM_001321014:exon5:c.G282T:p.K94N,CTBP2:NM_001329:exon5:c.G282T:p.K94N;CTBP2:uc001lid.4:exon3:c.G486T:p.K162N,CTBP2:uc001lie.4:exon3:c.G1902T:p.K634N,CTBP2:uc001lif.4:exon5:c.G282T:p.K94N,CTBP2:uc001lih.4:exon5:c.G282T:p.K94N,CTBP2:uc009yak.3:exon5:c.G282T:p.K94N,CTBP2:uc009yal.3:exon5:c.G282T:p.K94N;CTBP2:ENST00000309035.11_5:exon3:c.G1902T:p.K634N,CTBP2:ENST00000334808.10_4:exon3:c.G486T:p.K162N,CTBP2:ENST00000337195.9_3:exon5:c.G282T:p.K94N,CTBP2:ENST00000411419.6_3:exon5:c.G282T:p.K94N,CTBP2:ENST00000494626.6_3:exon5:c.G282T:p.K94N,CTBP2:ENST00000531469.5_3:exon5:c.G282T:p.K94N</t>
  </si>
  <si>
    <t xml:space="preserve">719.64</t>
  </si>
  <si>
    <t xml:space="preserve">52,22</t>
  </si>
  <si>
    <t xml:space="preserve">CTBP2:NM_001363508:exon3:c.A460T:p.T154S,CTBP2:NM_022802:exon3:c.A1876T:p.T626S,CTBP2:NM_001321013:exon4:c.A256T:p.T86S,CTBP2:NM_001083914:exon5:c.A256T:p.T86S,CTBP2:NM_001290214:exon5:c.A256T:p.T86S,CTBP2:NM_001290215:exon5:c.A256T:p.T86S,CTBP2:NM_001321012:exon5:c.A256T:p.T86S,CTBP2:NM_001321014:exon5:c.A256T:p.T86S,CTBP2:NM_001329:exon5:c.A256T:p.T86S;CTBP2:uc001lid.4:exon3:c.A460T:p.T154S,CTBP2:uc001lie.4:exon3:c.A1876T:p.T626S,CTBP2:uc001lif.4:exon5:c.A256T:p.T86S,CTBP2:uc001lih.4:exon5:c.A256T:p.T86S,CTBP2:uc009yak.3:exon5:c.A256T:p.T86S,CTBP2:uc009yal.3:exon5:c.A256T:p.T86S;CTBP2:ENST00000309035.11_5:exon3:c.A1876T:p.T626S,CTBP2:ENST00000334808.10_4:exon3:c.A460T:p.T154S,CTBP2:ENST00000337195.9_3:exon5:c.A256T:p.T86S,CTBP2:ENST00000411419.6_3:exon5:c.A256T:p.T86S,CTBP2:ENST00000494626.6_3:exon5:c.A256T:p.T86S,CTBP2:ENST00000531469.5_3:exon5:c.A256T:p.T86S</t>
  </si>
  <si>
    <t xml:space="preserve">672.64</t>
  </si>
  <si>
    <t xml:space="preserve">53,20</t>
  </si>
  <si>
    <t xml:space="preserve">CTBP2:NM_001363508:exon3:c.A457T:p.I153F,CTBP2:NM_022802:exon3:c.A1873T:p.I625F,CTBP2:NM_001321013:exon4:c.A253T:p.I85F,CTBP2:NM_001083914:exon5:c.A253T:p.I85F,CTBP2:NM_001290214:exon5:c.A253T:p.I85F,CTBP2:NM_001290215:exon5:c.A253T:p.I85F,CTBP2:NM_001321012:exon5:c.A253T:p.I85F,CTBP2:NM_001321014:exon5:c.A253T:p.I85F,CTBP2:NM_001329:exon5:c.A253T:p.I85F;CTBP2:uc001lid.4:exon3:c.A457T:p.I153F,CTBP2:uc001lie.4:exon3:c.A1873T:p.I625F,CTBP2:uc001lif.4:exon5:c.A253T:p.I85F,CTBP2:uc001lih.4:exon5:c.A253T:p.I85F,CTBP2:uc009yak.3:exon5:c.A253T:p.I85F,CTBP2:uc009yal.3:exon5:c.A253T:p.I85F;CTBP2:ENST00000309035.11_5:exon3:c.A1873T:p.I625F,CTBP2:ENST00000334808.10_4:exon3:c.A457T:p.I153F,CTBP2:ENST00000337195.9_3:exon5:c.A253T:p.I85F,CTBP2:ENST00000411419.6_3:exon5:c.A253T:p.I85F,CTBP2:ENST00000494626.6_3:exon5:c.A253T:p.I85F,CTBP2:ENST00000531469.5_3:exon5:c.A253T:p.I85F</t>
  </si>
  <si>
    <t xml:space="preserve">609.64</t>
  </si>
  <si>
    <t xml:space="preserve">47,23</t>
  </si>
  <si>
    <t xml:space="preserve">CTBP2:NM_001363508:exon3:c.C431T:p.A144V,CTBP2:NM_022802:exon3:c.C1847T:p.A616V,CTBP2:NM_001321013:exon4:c.C227T:p.A76V,CTBP2:NM_001083914:exon5:c.C227T:p.A76V,CTBP2:NM_001290214:exon5:c.C227T:p.A76V,CTBP2:NM_001290215:exon5:c.C227T:p.A76V,CTBP2:NM_001321012:exon5:c.C227T:p.A76V,CTBP2:NM_001321014:exon5:c.C227T:p.A76V,CTBP2:NM_001329:exon5:c.C227T:p.A76V;CTBP2:uc001lid.4:exon3:c.C431T:p.A144V,CTBP2:uc001lie.4:exon3:c.C1847T:p.A616V,CTBP2:uc001lif.4:exon5:c.C227T:p.A76V,CTBP2:uc001lih.4:exon5:c.C227T:p.A76V,CTBP2:uc009yak.3:exon5:c.C227T:p.A76V,CTBP2:uc009yal.3:exon5:c.C227T:p.A76V;CTBP2:ENST00000309035.11_5:exon3:c.C1847T:p.A616V,CTBP2:ENST00000334808.10_4:exon3:c.C431T:p.A144V,CTBP2:ENST00000337195.9_3:exon5:c.C227T:p.A76V,CTBP2:ENST00000411419.6_3:exon5:c.C227T:p.A76V,CTBP2:ENST00000494626.6_3:exon5:c.C227T:p.A76V,CTBP2:ENST00000531469.5_3:exon5:c.C227T:p.A76V</t>
  </si>
  <si>
    <t xml:space="preserve">GenotypeConflict</t>
  </si>
  <si>
    <t xml:space="preserve">172.64</t>
  </si>
  <si>
    <t xml:space="preserve">66,9</t>
  </si>
  <si>
    <t xml:space="preserve">CTBP2:NM_001363508:exon2:c.G383A:p.C128Y,CTBP2:NM_022802:exon2:c.G1799A:p.C600Y,CTBP2:NM_001321013:exon3:c.G179A:p.C60Y,CTBP2:NM_001083914:exon4:c.G179A:p.C60Y,CTBP2:NM_001290214:exon4:c.G179A:p.C60Y,CTBP2:NM_001290215:exon4:c.G179A:p.C60Y,CTBP2:NM_001321012:exon4:c.G179A:p.C60Y,CTBP2:NM_001321014:exon4:c.G179A:p.C60Y,CTBP2:NM_001329:exon4:c.G179A:p.C60Y;CTBP2:uc001lid.4:exon2:c.G383A:p.C128Y,CTBP2:uc001lie.4:exon2:c.G1799A:p.C600Y,CTBP2:uc001lif.4:exon4:c.G179A:p.C60Y,CTBP2:uc001lih.4:exon4:c.G179A:p.C60Y,CTBP2:uc009yak.3:exon4:c.G179A:p.C60Y,CTBP2:uc009yal.3:exon4:c.G179A:p.C60Y;CTBP2:ENST00000309035.11_5:exon2:c.G1799A:p.C600Y,CTBP2:ENST00000334808.10_4:exon2:c.G383A:p.C128Y,CTBP2:ENST00000337195.9_3:exon4:c.G179A:p.C60Y,CTBP2:ENST00000411419.6_3:exon4:c.G179A:p.C60Y,CTBP2:ENST00000494626.6_3:exon4:c.G179A:p.C60Y,CTBP2:ENST00000531469.5_3:exon4:c.G179A:p.C60Y</t>
  </si>
  <si>
    <t xml:space="preserve">836.64</t>
  </si>
  <si>
    <t xml:space="preserve">44,31</t>
  </si>
  <si>
    <t xml:space="preserve">CTBP2:NM_001363508:exon2:c.G345C:p.E115D,CTBP2:NM_022802:exon2:c.G1761C:p.E587D,CTBP2:NM_001321013:exon3:c.G141C:p.E47D,CTBP2:NM_001083914:exon4:c.G141C:p.E47D,CTBP2:NM_001290214:exon4:c.G141C:p.E47D,CTBP2:NM_001290215:exon4:c.G141C:p.E47D,CTBP2:NM_001321012:exon4:c.G141C:p.E47D,CTBP2:NM_001321014:exon4:c.G141C:p.E47D,CTBP2:NM_001329:exon4:c.G141C:p.E47D;CTBP2:uc001lid.4:exon2:c.G345C:p.E115D,CTBP2:uc001lie.4:exon2:c.G1761C:p.E587D,CTBP2:uc001lif.4:exon4:c.G141C:p.E47D,CTBP2:uc001lih.4:exon4:c.G141C:p.E47D,CTBP2:uc009yak.3:exon4:c.G141C:p.E47D,CTBP2:uc009yal.3:exon4:c.G141C:p.E47D;CTBP2:ENST00000309035.11_5:exon2:c.G1761C:p.E587D,CTBP2:ENST00000334808.10_4:exon2:c.G345C:p.E115D,CTBP2:ENST00000337195.9_3:exon4:c.G141C:p.E47D,CTBP2:ENST00000411419.6_3:exon4:c.G141C:p.E47D,CTBP2:ENST00000494626.6_3:exon4:c.G141C:p.E47D,CTBP2:ENST00000531469.5_3:exon4:c.G141C:p.E47D</t>
  </si>
  <si>
    <t xml:space="preserve">330.64</t>
  </si>
  <si>
    <t xml:space="preserve">41,11</t>
  </si>
  <si>
    <t xml:space="preserve">CTBP2:NM_001363508:exon2:c.C307G:p.L103V,CTBP2:NM_022802:exon2:c.C1723G:p.L575V,CTBP2:NM_001321013:exon3:c.C103G:p.L35V,CTBP2:NM_001083914:exon4:c.C103G:p.L35V,CTBP2:NM_001290214:exon4:c.C103G:p.L35V,CTBP2:NM_001290215:exon4:c.C103G:p.L35V,CTBP2:NM_001321012:exon4:c.C103G:p.L35V,CTBP2:NM_001321014:exon4:c.C103G:p.L35V,CTBP2:NM_001329:exon4:c.C103G:p.L35V;CTBP2:uc001lid.4:exon2:c.C307G:p.L103V,CTBP2:uc001lie.4:exon2:c.C1723G:p.L575V,CTBP2:uc001lif.4:exon4:c.C103G:p.L35V,CTBP2:uc001lih.4:exon4:c.C103G:p.L35V,CTBP2:uc009yak.3:exon4:c.C103G:p.L35V,CTBP2:uc009yal.3:exon4:c.C103G:p.L35V;CTBP2:ENST00000309035.11_5:exon2:c.C1723G:p.L575V,CTBP2:ENST00000334808.10_4:exon2:c.C307G:p.L103V,CTBP2:ENST00000337195.9_3:exon4:c.C103G:p.L35V,CTBP2:ENST00000411419.6_3:exon4:c.C103G:p.L35V,CTBP2:ENST00000494626.6_3:exon4:c.C103G:p.L35V,CTBP2:ENST00000531469.5_3:exon4:c.C103G:p.L35V</t>
  </si>
  <si>
    <t xml:space="preserve">34.64</t>
  </si>
  <si>
    <t xml:space="preserve">42,4</t>
  </si>
  <si>
    <t xml:space="preserve">CTBP2:NM_001363508:exon2:c.C305T:p.P102L,CTBP2:NM_022802:exon2:c.C1721T:p.P574L,CTBP2:NM_001321013:exon3:c.C101T:p.P34L,CTBP2:NM_001083914:exon4:c.C101T:p.P34L,CTBP2:NM_001290214:exon4:c.C101T:p.P34L,CTBP2:NM_001290215:exon4:c.C101T:p.P34L,CTBP2:NM_001321012:exon4:c.C101T:p.P34L,CTBP2:NM_001321014:exon4:c.C101T:p.P34L,CTBP2:NM_001329:exon4:c.C101T:p.P34L;CTBP2:uc001lid.4:exon2:c.C305T:p.P102L,CTBP2:uc001lie.4:exon2:c.C1721T:p.P574L,CTBP2:uc001lif.4:exon4:c.C101T:p.P34L,CTBP2:uc001lih.4:exon4:c.C101T:p.P34L,CTBP2:uc009yak.3:exon4:c.C101T:p.P34L,CTBP2:uc009yal.3:exon4:c.C101T:p.P34L;CTBP2:ENST00000309035.11_5:exon2:c.C1721T:p.P574L,CTBP2:ENST00000334808.10_4:exon2:c.C305T:p.P102L,CTBP2:ENST00000337195.9_3:exon4:c.C101T:p.P34L,CTBP2:ENST00000411419.6_3:exon4:c.C101T:p.P34L,CTBP2:ENST00000494626.6_3:exon4:c.C101T:p.P34L,CTBP2:ENST00000531469.5_3:exon4:c.C101T:p.P34L</t>
  </si>
  <si>
    <t xml:space="preserve">46.64</t>
  </si>
  <si>
    <t xml:space="preserve">38,4</t>
  </si>
  <si>
    <t xml:space="preserve">CTBP2:NM_001363508:exon2:c.C295A:p.H99N,CTBP2:NM_022802:exon2:c.C1711A:p.H571N,CTBP2:NM_001321013:exon3:c.C91A:p.H31N,CTBP2:NM_001083914:exon4:c.C91A:p.H31N,CTBP2:NM_001290214:exon4:c.C91A:p.H31N,CTBP2:NM_001290215:exon4:c.C91A:p.H31N,CTBP2:NM_001321012:exon4:c.C91A:p.H31N,CTBP2:NM_001321014:exon4:c.C91A:p.H31N,CTBP2:NM_001329:exon4:c.C91A:p.H31N;CTBP2:uc001lid.4:exon2:c.C295A:p.H99N,CTBP2:uc001lie.4:exon2:c.C1711A:p.H571N,CTBP2:uc001lif.4:exon4:c.C91A:p.H31N,CTBP2:uc001lih.4:exon4:c.C91A:p.H31N,CTBP2:uc009yak.3:exon4:c.C91A:p.H31N,CTBP2:uc009yal.3:exon4:c.C91A:p.H31N;CTBP2:ENST00000309035.11_5:exon2:c.C1711A:p.H571N,CTBP2:ENST00000334808.10_4:exon2:c.C295A:p.H99N,CTBP2:ENST00000337195.9_3:exon4:c.C91A:p.H31N,CTBP2:ENST00000411419.6_3:exon4:c.C91A:p.H31N,CTBP2:ENST00000494626.6_3:exon4:c.C91A:p.H31N,CTBP2:ENST00000531469.5_3:exon4:c.C91A:p.H31N</t>
  </si>
  <si>
    <t xml:space="preserve">43.64</t>
  </si>
  <si>
    <t xml:space="preserve">39,4</t>
  </si>
  <si>
    <t xml:space="preserve">CTBP2:NM_001363508:exon2:c.C289A:p.P97T,CTBP2:NM_022802:exon2:c.C1705A:p.P569T,CTBP2:NM_001321013:exon3:c.C85A:p.P29T,CTBP2:NM_001083914:exon4:c.C85A:p.P29T,CTBP2:NM_001290214:exon4:c.C85A:p.P29T,CTBP2:NM_001290215:exon4:c.C85A:p.P29T,CTBP2:NM_001321012:exon4:c.C85A:p.P29T,CTBP2:NM_001321014:exon4:c.C85A:p.P29T,CTBP2:NM_001329:exon4:c.C85A:p.P29T;CTBP2:uc001lid.4:exon2:c.C289A:p.P97T,CTBP2:uc001lie.4:exon2:c.C1705A:p.P569T,CTBP2:uc001lif.4:exon4:c.C85A:p.P29T,CTBP2:uc001lih.4:exon4:c.C85A:p.P29T,CTBP2:uc009yak.3:exon4:c.C85A:p.P29T,CTBP2:uc009yal.3:exon4:c.C85A:p.P29T;CTBP2:ENST00000309035.11_5:exon2:c.C1705A:p.P569T,CTBP2:ENST00000334808.10_4:exon2:c.C289A:p.P97T,CTBP2:ENST00000337195.9_3:exon4:c.C85A:p.P29T,CTBP2:ENST00000411419.6_3:exon4:c.C85A:p.P29T,CTBP2:ENST00000494626.6_3:exon4:c.C85A:p.P29T,CTBP2:ENST00000531469.5_3:exon4:c.C85A:p.P29T</t>
  </si>
  <si>
    <t xml:space="preserve">CTBP2:NM_001363508:exon2:c.G287T:p.G96V,CTBP2:NM_022802:exon2:c.G1703T:p.G568V,CTBP2:NM_001321013:exon3:c.G83T:p.G28V,CTBP2:NM_001083914:exon4:c.G83T:p.G28V,CTBP2:NM_001290214:exon4:c.G83T:p.G28V,CTBP2:NM_001290215:exon4:c.G83T:p.G28V,CTBP2:NM_001321012:exon4:c.G83T:p.G28V,CTBP2:NM_001321014:exon4:c.G83T:p.G28V,CTBP2:NM_001329:exon4:c.G83T:p.G28V;CTBP2:uc001lid.4:exon2:c.G287T:p.G96V,CTBP2:uc001lie.4:exon2:c.G1703T:p.G568V,CTBP2:uc001lif.4:exon4:c.G83T:p.G28V,CTBP2:uc001lih.4:exon4:c.G83T:p.G28V,CTBP2:uc009yak.3:exon4:c.G83T:p.G28V,CTBP2:uc009yal.3:exon4:c.G83T:p.G28V;CTBP2:ENST00000309035.11_5:exon2:c.G1703T:p.G568V,CTBP2:ENST00000334808.10_4:exon2:c.G287T:p.G96V,CTBP2:ENST00000337195.9_3:exon4:c.G83T:p.G28V,CTBP2:ENST00000411419.6_3:exon4:c.G83T:p.G28V,CTBP2:ENST00000494626.6_3:exon4:c.G83T:p.G28V,CTBP2:ENST00000531469.5_3:exon4:c.G83T:p.G28V</t>
  </si>
  <si>
    <t xml:space="preserve">CTBP2:NM_001363508:exon2:c.C285A:p.N95K,CTBP2:NM_022802:exon2:c.C1701A:p.N567K,CTBP2:NM_001321013:exon3:c.C81A:p.N27K,CTBP2:NM_001083914:exon4:c.C81A:p.N27K,CTBP2:NM_001290214:exon4:c.C81A:p.N27K,CTBP2:NM_001290215:exon4:c.C81A:p.N27K,CTBP2:NM_001321012:exon4:c.C81A:p.N27K,CTBP2:NM_001321014:exon4:c.C81A:p.N27K,CTBP2:NM_001329:exon4:c.C81A:p.N27K;CTBP2:uc001lid.4:exon2:c.C285A:p.N95K,CTBP2:uc001lie.4:exon2:c.C1701A:p.N567K,CTBP2:uc001lif.4:exon4:c.C81A:p.N27K,CTBP2:uc001lih.4:exon4:c.C81A:p.N27K,CTBP2:uc009yak.3:exon4:c.C81A:p.N27K,CTBP2:uc009yal.3:exon4:c.C81A:p.N27K;CTBP2:ENST00000309035.11_5:exon2:c.C1701A:p.N567K,CTBP2:ENST00000334808.10_4:exon2:c.C285A:p.N95K,CTBP2:ENST00000337195.9_3:exon4:c.C81A:p.N27K,CTBP2:ENST00000411419.6_3:exon4:c.C81A:p.N27K,CTBP2:ENST00000494626.6_3:exon4:c.C81A:p.N27K,CTBP2:ENST00000531469.5_3:exon4:c.C81A:p.N27K</t>
  </si>
  <si>
    <t xml:space="preserve">2512.64</t>
  </si>
  <si>
    <t xml:space="preserve">101</t>
  </si>
  <si>
    <t xml:space="preserve">38,63</t>
  </si>
  <si>
    <t xml:space="preserve">CTBP2:NM_001321013:exon2:c.A22T:p.K8X,CTBP2:NM_001083914:exon3:c.A22T:p.K8X,CTBP2:NM_001290214:exon3:c.A22T:p.K8X,CTBP2:NM_001290215:exon3:c.A22T:p.K8X,CTBP2:NM_001321012:exon3:c.A22T:p.K8X,CTBP2:NM_001321014:exon3:c.A22T:p.K8X,CTBP2:NM_001329:exon3:c.A22T:p.K8X;CTBP2:uc001lif.4:exon3:c.A22T:p.K8X,CTBP2:uc001lih.4:exon3:c.A22T:p.K8X,CTBP2:uc009yak.3:exon3:c.A22T:p.K8X,CTBP2:uc009yal.3:exon3:c.A22T:p.K8X;CTBP2:ENST00000337195.9_3:exon3:c.A22T:p.K8X,CTBP2:ENST00000411419.6_3:exon3:c.A22T:p.K8X,CTBP2:ENST00000494626.6_3:exon3:c.A22T:p.K8X,CTBP2:ENST00000531469.5_3:exon3:c.A22T:p.K8X</t>
  </si>
  <si>
    <t xml:space="preserve">2/2</t>
  </si>
  <si>
    <t xml:space="preserve">CTBP2:NM_001321013:exon2:c.A20G:p.H7R,CTBP2:NM_001083914:exon3:c.A20G:p.H7R,CTBP2:NM_001290214:exon3:c.A20G:p.H7R,CTBP2:NM_001290215:exon3:c.A20G:p.H7R,CTBP2:NM_001321012:exon3:c.A20G:p.H7R,CTBP2:NM_001321014:exon3:c.A20G:p.H7R,CTBP2:NM_001329:exon3:c.A20G:p.H7R;CTBP2:uc001lif.4:exon3:c.A20G:p.H7R,CTBP2:uc001lih.4:exon3:c.A20G:p.H7R,CTBP2:uc009yak.3:exon3:c.A20G:p.H7R,CTBP2:uc009yal.3:exon3:c.A20G:p.H7R;CTBP2:ENST00000337195.9_3:exon3:c.A20G:p.H7R,CTBP2:ENST00000411419.6_3:exon3:c.A20G:p.H7R,CTBP2:ENST00000494626.6_3:exon3:c.A20G:p.H7R,CTBP2:ENST00000531469.5_3:exon3:c.A20G:p.H7R</t>
  </si>
  <si>
    <t xml:space="preserve">781.64</t>
  </si>
  <si>
    <t xml:space="preserve">29,27</t>
  </si>
  <si>
    <t xml:space="preserve">INPP5A:NM_001321042:exon2:c.C136T:p.L46F,INPP5A:NM_005539:exon5:c.C328T:p.L110F;INPP5A:uc001llq.3:exon4:c.C184T:p.L62F,INPP5A:uc001llo.1:exon5:c.C328T:p.L110F,INPP5A:uc001llp.3:exon5:c.C328T:p.L110F;INPP5A:ENST00000368593.7_1:exon5:c.C328T:p.L110F,INPP5A:ENST00000368594.8_3:exon5:c.C328T:p.L110F</t>
  </si>
  <si>
    <t xml:space="preserve">0.942238413616355</t>
  </si>
  <si>
    <t xml:space="preserve">inositol polyphosphate-5-phosphatase A</t>
  </si>
  <si>
    <t xml:space="preserve">FUNCTION: Major isoenzyme hydrolyzing the calcium-mobilizing second messenger Ins(1,4,5)P3, this is a signal-terminating reaction.; </t>
  </si>
  <si>
    <t xml:space="preserve">728.64</t>
  </si>
  <si>
    <t xml:space="preserve">29,25</t>
  </si>
  <si>
    <t xml:space="preserve">PKP3:NM_007183:exon11:c.C2168T:p.A723V,PKP3:NM_001303029:exon12:c.C2213T:p.A738V;PKP3:uc001lpc.3:exon11:c.C2168T:p.A723V,PKP3:uc021qbk.1:exon12:c.C2213T:p.A738V;PKP3:ENST00000331563.7_3:exon11:c.C2168T:p.A723V</t>
  </si>
  <si>
    <t xml:space="preserve">0.194350414769518</t>
  </si>
  <si>
    <t xml:space="preserve">plakophilin 3</t>
  </si>
  <si>
    <t xml:space="preserve">FUNCTION: May play a role in junctional plaques.; </t>
  </si>
  <si>
    <t xml:space="preserve">433.64</t>
  </si>
  <si>
    <t xml:space="preserve">30</t>
  </si>
  <si>
    <t xml:space="preserve">15,15</t>
  </si>
  <si>
    <t xml:space="preserve">OR51I1:NM_001005288:exon1:c.C904T:p.R302C;OR51I1:uc010qze.2:exon1:c.C904T:p.R302C;OR51I1:ENST00000380211.1_3:exon1:c.C904T:p.R302C</t>
  </si>
  <si>
    <t xml:space="preserve">0.00237702705500239</t>
  </si>
  <si>
    <t xml:space="preserve">olfactory receptor family 51 subfamily I member 1</t>
  </si>
  <si>
    <t xml:space="preserve">FUNCTION: Odorant receptor. {ECO:0000305}.; </t>
  </si>
  <si>
    <t xml:space="preserve">195.64</t>
  </si>
  <si>
    <t xml:space="preserve">OLFML1:NM_001370501:exon2:c.C158T:p.T53M,OLFML1:NM_198474:exon2:c.C158T:p.T53M,OLFML1:NM_001370498:exon3:c.C158T:p.T53M,OLFML1:NM_001370500:exon3:c.C158T:p.T53M;OLFML1:uc001mfi.3:exon2:c.C158T:p.T53M,OLFML1:uc010rba.2:exon3:c.C158T:p.T53M;OLFML1:ENST00000329293.4_3:exon2:c.C158T:p.T53M,OLFML1:ENST00000530135.5_1:exon3:c.C158T:p.T53M</t>
  </si>
  <si>
    <t xml:space="preserve">0.000497436648326104</t>
  </si>
  <si>
    <t xml:space="preserve">olfactomedin like 1</t>
  </si>
  <si>
    <t xml:space="preserve">935.64</t>
  </si>
  <si>
    <t xml:space="preserve">69</t>
  </si>
  <si>
    <t xml:space="preserve">36,33</t>
  </si>
  <si>
    <t xml:space="preserve">NAV2:NM_145117:exon6:c.G863A:p.S288N,NAV2:NM_182964:exon6:c.G863A:p.S288N,NAV2:NM_001111018:exon7:c.G671A:p.S224N,NAV2:NM_001244963:exon7:c.G932A:p.S311N;NAV2:uc001mpp.3:exon6:c.G671A:p.S224N,NAV2:uc001mpr.4:exon6:c.G863A:p.S288N,NAV2:uc021qew.1:exon6:c.G863A:p.S288N,NAV2:uc010rdm.2:exon7:c.G932A:p.S311N,NAV2:uc031pzj.1:exon7:c.G932A:p.S311N;NAV2:ENST00000349880.9_6:exon6:c.G863A:p.S288N,NAV2:ENST00000360655.8_6:exon6:c.G671A:p.S224N,NAV2:ENST00000396085.6_5:exon6:c.G863A:p.S288N,NAV2:ENST00000396087.7_1:exon7:c.G932A:p.S311N</t>
  </si>
  <si>
    <t xml:space="preserve">2</t>
  </si>
  <si>
    <t xml:space="preserve">0.997517125070282</t>
  </si>
  <si>
    <t xml:space="preserve">neuron navigator 2</t>
  </si>
  <si>
    <t xml:space="preserve">FUNCTION: Possesses 3' to 5' helicase activity and exonuclease activity. Involved in neuronal development, specifically in the development of different sensory organs. {ECO:0000269|PubMed:12214280, ECO:0000269|PubMed:15158073}.; </t>
  </si>
  <si>
    <t xml:space="preserve">47.64</t>
  </si>
  <si>
    <t xml:space="preserve">6,2</t>
  </si>
  <si>
    <t xml:space="preserve">OR4A16:NM_001005274:exon1:c.C23T:p.T8I;OR4A16:uc010rie.2:exon1:c.C23T:p.T8I;OR4A16:ENST00000314721.5_3:exon1:c.C23T:p.T8I</t>
  </si>
  <si>
    <t xml:space="preserve">2.61340194128249e-05</t>
  </si>
  <si>
    <t xml:space="preserve">olfactory receptor family 4 subfamily A member 16</t>
  </si>
  <si>
    <t xml:space="preserve">129.64</t>
  </si>
  <si>
    <t xml:space="preserve">5,6</t>
  </si>
  <si>
    <t xml:space="preserve">SF1:NM_001178030:exon1:c.C134T:p.P45L,SF1:NM_001378956:exon1:c.C134T:p.P45L,SF1:NM_001378957:exon1:c.C134T:p.P45L;SF1:uc001oaz.2:exon1:c.C134T:p.P45L;SF1:ENST00000377387.5_5:exon1:c.C134T:p.P45L,SF1:ENST00000681407.1_1:exon1:c.C134T:p.P45L</t>
  </si>
  <si>
    <t xml:space="preserve">0.998855016951352</t>
  </si>
  <si>
    <t xml:space="preserve">splicing factor 1</t>
  </si>
  <si>
    <t xml:space="preserve">FUNCTION: Necessary for the ATP-dependent first step of spliceosome assembly. Binds to the intron branch point sequence (BPS) 5'-UACUAAC-3' of the pre-mRNA. May act as transcription repressor. {ECO:0000269|PubMed:10449420, ECO:0000269|PubMed:8752089, ECO:0000269|PubMed:9660765}.; </t>
  </si>
  <si>
    <t xml:space="preserve">750.64</t>
  </si>
  <si>
    <t xml:space="preserve">59</t>
  </si>
  <si>
    <t xml:space="preserve">34,25</t>
  </si>
  <si>
    <t xml:space="preserve">EHBP1L1:NM_001099409:exon6:c.G514A:p.A172T,EHBP1L1:NM_001351087:exon6:c.G514A:p.A172T;EHBP1L1:uc001oeo.4:exon6:c.G514A:p.A172T;EHBP1L1:ENST00000309295.9_3:exon6:c.G514A:p.A172T</t>
  </si>
  <si>
    <t xml:space="preserve">8.081316771713e-07</t>
  </si>
  <si>
    <t xml:space="preserve">EH domain binding protein 1 like 1</t>
  </si>
  <si>
    <t xml:space="preserve">1396.64</t>
  </si>
  <si>
    <t xml:space="preserve">43,45</t>
  </si>
  <si>
    <t xml:space="preserve">SHANK2:NM_133266:exon10:c.C3077T:p.P1026L,SHANK2:NM_001379226:exon15:c.C3704T:p.P1235L;SHANK2:uc001opz.3:exon9:c.C3056T:p.P1019L,SHANK2:uc010rqn.2:exon9:c.C3071T:p.P1024L,SHANK2:uc001oqc.3:exon21:c.C4643T:p.P1548L;SHANK2:ENST00000409161.5_3:exon9:c.C3053T:p.P1018L,SHANK2:ENST00000338508.9_4:exon10:c.C3074T:p.P1025L,SHANK2:ENST00000659264.1_4:exon12:c.C3131T:p.P1044L,SHANK2:ENST00000656230.1_3:exon15:c.C3704T:p.P1235L,SHANK2:ENST00000601538.6_5:exon23:c.C4646T:p.P1549L</t>
  </si>
  <si>
    <t xml:space="preserve">0.999920169615752</t>
  </si>
  <si>
    <t xml:space="preserve">SH3 and multiple ankyrin repeat domains 2</t>
  </si>
  <si>
    <t xml:space="preserve">FUNCTION: Seems to be an adapter protein in the postsynaptic density (PSD) of excitatory synapses that interconnects receptors of the postsynaptic membrane including NMDA-type and metabotropic glutamate receptors, and the actin-based cytoskeleton. May play a role in the structural and functional organization of the dendritic spine and synaptic junction.; </t>
  </si>
  <si>
    <t xml:space="preserve">DISEASE: Autism 17 (AUTS17) [MIM:613436]: A complex multifactorial, pervasive developmental disorder characterized by impairments in reciprocal social interaction and communication, restricted and stereotyped patterns of interests and activities, and the presence of developmental abnormalities by 3 years of age. Most individuals with autism also manifest moderate mental retardation. {ECO:0000269|PubMed:20473310}. Note=Disease susceptibility is associated with variations affecting the gene represented in this entry.; </t>
  </si>
  <si>
    <t xml:space="preserve">1050.64</t>
  </si>
  <si>
    <t xml:space="preserve">37,39</t>
  </si>
  <si>
    <t xml:space="preserve">DDI1:NM_001001711:exon1:c.G308C:p.G103A;DDI1:uc001phr.2:exon1:c.G308C:p.G103A;DDI1:ENST00000302259.5_3:exon1:c.G308C:p.G103A</t>
  </si>
  <si>
    <t xml:space="preserve">5.48151682948122e-06</t>
  </si>
  <si>
    <t xml:space="preserve">DNA damage inducible 1 homolog 1</t>
  </si>
  <si>
    <t xml:space="preserve">1163.64</t>
  </si>
  <si>
    <t xml:space="preserve">45,42</t>
  </si>
  <si>
    <t xml:space="preserve">NLRX1:NM_001282143:exon5:c.C577G:p.L193V,NLRX1:NM_001282144:exon5:c.C577G:p.L193V,NLRX1:NM_001282358:exon5:c.C577G:p.L193V,NLRX1:NM_024618:exon5:c.C577G:p.L193V;NLRX1:uc010rzc.1:exon4:c.C43G:p.L15V,NLRX1:uc001pvu.3:exon5:c.C577G:p.L193V,NLRX1:uc001pvv.3:exon5:c.C577G:p.L193V,NLRX1:uc001pvw.3:exon5:c.C577G:p.L193V,NLRX1:uc001pvx.3:exon5:c.C577G:p.L193V;NLRX1:ENST00000525863.1_1:exon4:c.C577G:p.L193V,NLRX1:ENST00000292199.6_1:exon5:c.C577G:p.L193V,NLRX1:ENST00000409109.6_3:exon5:c.C577G:p.L193V,NLRX1:ENST00000409265.8_1:exon5:c.C577G:p.L193V,NLRX1:ENST00000409991.5_1:exon5:c.C577G:p.L193V</t>
  </si>
  <si>
    <t xml:space="preserve">9.83505664629216e-22</t>
  </si>
  <si>
    <t xml:space="preserve">NLR family member X1</t>
  </si>
  <si>
    <t xml:space="preserve">FUNCTION: Participates in antiviral signaling. Acts as a negative regulator of MAVS-mediated antiviral responses, through the inhibition of the virus-induced RLH (RIG-like helicase)-MAVS interaction (PubMed:18200010). Has no inhibitory function on NF- Kappa-B and type 1 interferon signaling pathways, but enhances NF- Kappa-B and JUN N-terminal kinase dependent signaling through the production of reactive oxygen species (PubMed:18219313). {ECO:0000269|PubMed:18200010, ECO:0000269|PubMed:18219313}.; </t>
  </si>
  <si>
    <t xml:space="preserve">497.64</t>
  </si>
  <si>
    <t xml:space="preserve">40</t>
  </si>
  <si>
    <t xml:space="preserve">20,20</t>
  </si>
  <si>
    <t xml:space="preserve">BSX:NM_001098169:exon1:c.C31G:p.P11A;BSX:uc010rzs.2:exon1:c.C31G:p.P11A;BSX:ENST00000343035.3_5:exon1:c.C31G:p.P11A</t>
  </si>
  <si>
    <t xml:space="preserve">0.136321314394079</t>
  </si>
  <si>
    <t xml:space="preserve">brain specific homeobox</t>
  </si>
  <si>
    <t xml:space="preserve">FUNCTION: DNA binding protein that function as transcriptional activator. Is essentiel for normal postnatal growth and nursing. Is an essential factor for neuronal neuropeptide Y and agouti- related peptide function and locomotory behavior in the control of energy balance (By similarity). {ECO:0000250}.; </t>
  </si>
  <si>
    <t xml:space="preserve">DDX25:NM_001330438:exon8:c.C332T:p.T111I,DDX25:NM_013264:exon8:c.C674T:p.T225I;DDX25:uc001qcz.5:exon8:c.C674T:p.T225I,DDX25:uc010sbk.3:exon8:c.C674T:p.T225I;DDX25:ENST00000263576.11_4:exon8:c.C674T:p.T225I,DDX25:ENST00000525943.1_3:exon8:c.C332T:p.T111I</t>
  </si>
  <si>
    <t xml:space="preserve">4.23433637836541e-09</t>
  </si>
  <si>
    <t xml:space="preserve">DEAD-box helicase 25</t>
  </si>
  <si>
    <t xml:space="preserve">FUNCTION: ATP-dependent RNA helicase. Required for mRNA export and translation regulation during spermatid development (By similarity). {ECO:0000250, ECO:0000269|PubMed:10608860}.; </t>
  </si>
  <si>
    <t xml:space="preserve">45.64</t>
  </si>
  <si>
    <t xml:space="preserve">5,2</t>
  </si>
  <si>
    <t xml:space="preserve">KDM5A:NM_001042603:exon7:c.A782C:p.E261A;KDM5A:uc010sdn.1:exon6:c.A659C:p.E220A,KDM5A:uc001qif.1:exon7:c.A782C:p.E261A;KDM5A:ENST00000399788.7_5:exon7:c.A782C:p.E261A</t>
  </si>
  <si>
    <t xml:space="preserve">0.999994827471308</t>
  </si>
  <si>
    <t xml:space="preserve">lysine demethylase 5A</t>
  </si>
  <si>
    <t xml:space="preserve">FUNCTION: Histone demethylase that specifically demethylates 'Lys- 4' of histone H3, thereby playing a central role in histone code. Does not demethylate histone H3 'Lys-9', H3 'Lys-27', H3 'Lys-36', H3 'Lys-79' or H4 'Lys-20'. Demethylates trimethylated and dimethylated but not monomethylated H3 'Lys-4'. May stimulate transcription mediated by nuclear receptors. May be involved in transcriptional regulation of Hox proteins during cell differentiation. May participate in transcriptional repression of cytokines such as CXCL12. Plays a role in the regulation of the circadian rhythm and in maintaining the normal periodicity of the circadian clock. In a histone demethylase-independent manner, acts as a coactivator of the CLOCK-ARNTL/BMAL1-mediated transcriptional activation of PER1/2 and other clock-controlled genes and increases histone acetylation at PER1/2 promoters by inhibiting the activity of HDAC1 (By similarity). {ECO:0000250|UniProtKB:Q3UXZ9, ECO:0000269|PubMed:11358960, ECO:0000269|PubMed:15949438, ECO:0000269|PubMed:17320160, ECO:0000269|PubMed:17320161, ECO:0000269|PubMed:17320163}.; </t>
  </si>
  <si>
    <t xml:space="preserve">643.64</t>
  </si>
  <si>
    <t xml:space="preserve">31,24</t>
  </si>
  <si>
    <t xml:space="preserve">NRIP2:NM_031474:exon6:c.C794T:p.A265V;NRIP2:uc001qlc.3:exon6:c.C794T:p.A265V,NRIP2:uc010sed.1:exon6:c.C794T:p.A265V;NRIP2:ENST00000337508.9_5:exon6:c.C794T:p.A265V</t>
  </si>
  <si>
    <t xml:space="preserve">9.12047384069789e-08</t>
  </si>
  <si>
    <t xml:space="preserve">nuclear receptor interacting protein 2</t>
  </si>
  <si>
    <t xml:space="preserve">FUNCTION: Down-regulates transcriptional activation by nuclear receptors such as NR1F2. {ECO:0000250}.; </t>
  </si>
  <si>
    <t xml:space="preserve">30.64</t>
  </si>
  <si>
    <t xml:space="preserve">12,2</t>
  </si>
  <si>
    <t xml:space="preserve">PARP11:NM_001286521:exon4:c.G121A:p.A41T,PARP11:NM_001286522:exon5:c.G121A:p.A41T,PARP11:NM_020367:exon5:c.G364A:p.A122T;PARP11:uc001qmk.1:exon4:c.G343A:p.A115T,PARP11:uc001qmn.2:exon4:c.G121A:p.A41T,PARP11:uc001qml.2:exon5:c.G364A:p.A122T,PARP11:uc001qmm.2:exon5:c.G121A:p.A41T;PARP11:ENST00000447133.7_3:exon4:c.G121A:p.A41T,PARP11:ENST00000228820.9_5:exon5:c.G364A:p.A122T,PARP11:ENST00000427057.6_3:exon5:c.G121A:p.A41T</t>
  </si>
  <si>
    <t xml:space="preserve">0.00015946555998602</t>
  </si>
  <si>
    <t xml:space="preserve">poly(ADP-ribose) polymerase family member 11</t>
  </si>
  <si>
    <t xml:space="preserve">345.64</t>
  </si>
  <si>
    <t xml:space="preserve">26</t>
  </si>
  <si>
    <t xml:space="preserve">15,11</t>
  </si>
  <si>
    <t xml:space="preserve">PLEKHG6:NM_001144857:exon14:c.G1589A:p.R530Q,PLEKHG6:NM_001144856:exon15:c.G1931A:p.R644Q,PLEKHG6:NM_001384598:exon15:c.G1931A:p.R644Q,PLEKHG6:NM_001384599:exon15:c.G1928A:p.R643Q,PLEKHG6:NM_001384600:exon15:c.G1865A:p.R622Q,PLEKHG6:NM_001384604:exon15:c.G1979A:p.R660Q,PLEKHG6:NM_018173:exon15:c.G1931A:p.R644Q;PLEKHG6:uc010sex.2:exon14:c.G1835A:p.R612Q,PLEKHG6:uc001qnr.3:exon15:c.G1931A:p.R644Q,PLEKHG6:uc010sew.2:exon15:c.G1931A:p.R644Q;PLEKHG6:ENST00000304581.8_1:exon3:c.G521A:p.R174Q,PLEKHG6:ENST00000449001.6_5:exon14:c.G1835A:p.R612Q,PLEKHG6:ENST00000011684.11_6:exon15:c.G1931A:p.R644Q,PLEKHG6:ENST00000396988.7_6:exon15:c.G1931A:p.R644Q,PLEKHG6:ENST00000684764.1_4:exon15:c.G1931A:p.R644Q</t>
  </si>
  <si>
    <t xml:space="preserve">1.17026398871661e-10</t>
  </si>
  <si>
    <t xml:space="preserve">pleckstrin homology and RhoGEF domain containing G6</t>
  </si>
  <si>
    <t xml:space="preserve">FUNCTION: Guanine nucleotide exchange factor activating the small GTPase RHOA, which, in turn, induces myosin filament formation. Also activates RHOG. Does not activate RAC1, or to a much lower extent than RHOA and RHOG. Part of a functional unit, involving PLEKHG6, MYH10 and RHOA, at the cleavage furrow to advance furrow ingression during cytokinesis. In epithelial cells, required for the formation of microvilli and membrane ruffles on the apical pole. Along with EZR, required for normal macropinocytosis. {ECO:0000269|PubMed:16721066, ECO:0000269|PubMed:17881735}.; </t>
  </si>
  <si>
    <t xml:space="preserve">404.64</t>
  </si>
  <si>
    <t xml:space="preserve">17,15</t>
  </si>
  <si>
    <t xml:space="preserve">OVCH1:NM_001353179:exon6:c.G694C:p.A232P;OVCH1:uc001rix.1:exon6:c.G694C:p.A232P;OVCH1:ENST00000318184.9_5:exon6:c.G694C:p.A232P,OVCH1:ENST00000537054.2_4:exon6:c.G694C:p.A232P</t>
  </si>
  <si>
    <t xml:space="preserve">1.53112390015935e-28</t>
  </si>
  <si>
    <t xml:space="preserve">ovochymase 1</t>
  </si>
  <si>
    <t xml:space="preserve">39.64</t>
  </si>
  <si>
    <t xml:space="preserve">ARID2:NM_001347839:exon11:c.C1474G:p.Q492E,ARID2:NM_152641:exon11:c.C1474G:p.Q492E;ARID2:uc009zkh.1:exon3:c.C355G:p.Q119E,ARID2:uc001rot.1:exon4:c.C412G:p.Q138E,ARID2:uc001ror.3:exon11:c.C1474G:p.Q492E,ARID2:uc001ros.1:exon11:c.C1474G:p.Q492E;ARID2:ENST00000334344.11_4:exon11:c.C1474G:p.Q492E</t>
  </si>
  <si>
    <t xml:space="preserve">0.999999053128101</t>
  </si>
  <si>
    <t xml:space="preserve">AT-rich interaction domain 2</t>
  </si>
  <si>
    <t xml:space="preserve">FUNCTION: Involved in transcriptional activation and repression of select genes by chromatin remodeling (alteration of DNA-nucleosome topology). Required for the stability of the SWI/SNF chromatin remodeling complex SWI/SNF-B (PBAF). May be involved in targeting the complex to different genes. May be involved in regulating transcriptional activation of cardiac genes. {ECO:0000269|PubMed:16782067}.; </t>
  </si>
  <si>
    <t xml:space="preserve">843.64</t>
  </si>
  <si>
    <t xml:space="preserve">29,30</t>
  </si>
  <si>
    <t xml:space="preserve">CALCOCO1:NM_001143682:exon5:c.C488T:p.T163M,CALCOCO1:NM_020898:exon5:c.C587T:p.T196M;CALCOCO1:uc010son.2:exon4:c.C218T:p.T73M,CALCOCO1:uc001sef.3:exon5:c.C587T:p.T196M,CALCOCO1:uc001seg.3:exon5:c.C218T:p.T73M,CALCOCO1:uc001seh.2:exon5:c.C587T:p.T196M,CALCOCO1:uc009znd.3:exon5:c.C587T:p.T196M,CALCOCO1:uc010som.2:exon5:c.C488T:p.T163M,CALCOCO1:uc010soo.1:exon5:c.C566T:p.T189M;CALCOCO1:ENST00000262059.8_3:exon5:c.C587T:p.T196M,CALCOCO1:ENST00000430117.6_3:exon5:c.C488T:p.T163M,CALCOCO1:ENST00000548263.5_3:exon5:c.C587T:p.T196M,CALCOCO1:ENST00000550804.6_9:exon5:c.C587T:p.T196M</t>
  </si>
  <si>
    <t xml:space="preserve">0.171891880753814</t>
  </si>
  <si>
    <t xml:space="preserve">calcium binding and coiled-coil domain 1</t>
  </si>
  <si>
    <t xml:space="preserve">FUNCTION: Functions as a coactivator for aryl hydrocarbon and nuclear receptors (NR). Recruited to promoters through its contact with the N-terminal basic helix-loop-helix-Per-Arnt-Sim (PAS) domain of transcription factors or coactivators, such as NCOA2. During ER-activation acts synergistically in combination with other NCOA2-binding proteins, such as EP300, CREBBP and CARM1. Involved in the transcriptional activation of target genes in the Wnt/CTNNB1 pathway. Functions as a secondary coactivator in LEF1- mediated transcriptional activation via its interaction with CTNNB1. Coactivator function for nuclear receptors and LEF1/CTNNB1 involves differential utilization of two different activation regions (By similarity). In association with CCAR1 enhances GATA1- and MED1-mediated transcriptional activation from the gamma-globin promoter during erythroid differentiation of K562 erythroleukemia cells (PubMed:24245781). {ECO:0000250|UniProtKB:Q8CGU1, ECO:0000269|PubMed:24245781}.; </t>
  </si>
  <si>
    <t xml:space="preserve">288.64</t>
  </si>
  <si>
    <t xml:space="preserve">62,15</t>
  </si>
  <si>
    <t xml:space="preserve">STAT2:NM_001385110:exon20:c.G1870T:p.V624L,STAT2:NM_001385111:exon20:c.G1804T:p.V602L,STAT2:NM_001385114:exon20:c.G1882T:p.V628L,STAT2:NM_001385113:exon21:c.G1903T:p.V635L,STAT2:NM_001385115:exon21:c.G1861T:p.V621L,STAT2:NM_005419:exon21:c.G1903T:p.V635L,STAT2:NM_198332:exon21:c.G1891T:p.V631L;STAT2:uc001slb.3:exon8:c.G529T:p.V177L,STAT2:uc001slc.3:exon21:c.G1903T:p.V635L,STAT2:uc001sld.3:exon21:c.G1891T:p.V631L;STAT2:ENST00000698186.1_1:exon19:c.G1771T:p.V591L,STAT2:ENST00000651915.1_3:exon20:c.G1804T:p.V602L,STAT2:ENST00000314128.9_10:exon21:c.G1903T:p.V635L,STAT2:ENST00000557235.5_3:exon21:c.G1891T:p.V631L,STAT2:ENST00000698193.1_1:exon21:c.G1903T:p.V635L</t>
  </si>
  <si>
    <t xml:space="preserve">0.0410947373611941</t>
  </si>
  <si>
    <t xml:space="preserve">signal transducer and activator of transcription 2</t>
  </si>
  <si>
    <t xml:space="preserve">FUNCTION: Signal transducer and activator of transcription that mediates signaling by type I IFNs (IFN-alpha and IFN-beta). Following type I IFN binding to cell surface receptors, Jak kinases (TYK2 and JAK1) are activated, leading to tyrosine phosphorylation of STAT1 and STAT2. The phosphorylated STATs dimerize, associate with IRF9/ISGF3G to form a complex termed ISGF3 transcription factor, that enters the nucleus. ISGF3 binds to the IFN stimulated response element (ISRE) to activate the transcription of interferon stimulated genes, which drive the cell in an antiviral state. {ECO:0000269|PubMed:9020188}.; </t>
  </si>
  <si>
    <t xml:space="preserve">667.64</t>
  </si>
  <si>
    <t xml:space="preserve">48</t>
  </si>
  <si>
    <t xml:space="preserve">24,24</t>
  </si>
  <si>
    <t xml:space="preserve">MBD6:NM_052897:exon9:c.G2339T:p.G780V;MBD6:uc001sok.1:exon4:c.G1940T:p.G647V,MBD6:uc001soj.1:exon9:c.G2339T:p.G780V;MBD6:ENST00000355673.8_5:exon9:c.G2339T:p.G780V</t>
  </si>
  <si>
    <t xml:space="preserve">0.963657500420421</t>
  </si>
  <si>
    <t xml:space="preserve">methyl-CpG binding domain protein 6</t>
  </si>
  <si>
    <t xml:space="preserve">FUNCTION: Binds to heterochromatin. Does not interact with either methylated or unmethylated DNA (in vitro).; </t>
  </si>
  <si>
    <t xml:space="preserve">117.64</t>
  </si>
  <si>
    <t xml:space="preserve">56,7</t>
  </si>
  <si>
    <t xml:space="preserve">CTDSP2:NM_005730:exon7:c.C679A:p.P227T;CTDSP2:uc010ssg.2:exon2:c.C301A:p.P101T,CTDSP2:uc009zqg.3:exon3:c.C160A:p.P54T,CTDSP2:uc001sqm.3:exon7:c.C679A:p.P227T,CTDSP2:uc009zqf.3:exon7:c.C223A:p.P75T;CTDSP2:ENST00000548823.1_3:exon3:c.C160A:p.P54T,CTDSP2:ENST00000398073.7_5:exon7:c.C679A:p.P227T,CTDSP2:ENST00000547701.5_3:exon7:c.C223A:p.P75T</t>
  </si>
  <si>
    <t xml:space="preserve">0.397665011331897</t>
  </si>
  <si>
    <t xml:space="preserve">CTD small phosphatase 2</t>
  </si>
  <si>
    <t xml:space="preserve">FUNCTION: Preferentially catalyzes the dephosphorylation of 'Ser- 5'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 May contribute to the development of sarcomas. {ECO:0000269|PubMed:12721286, ECO:0000269|PubMed:15681389}.; </t>
  </si>
  <si>
    <t xml:space="preserve">435.64</t>
  </si>
  <si>
    <t xml:space="preserve">87,17</t>
  </si>
  <si>
    <t xml:space="preserve">CTDSP2:NM_005730:exon7:c.G614A:p.R205H;CTDSP2:uc010ssg.2:exon2:c.G236A:p.R79H,CTDSP2:uc001sqm.3:exon7:c.G614A:p.R205H,CTDSP2:uc009zqf.3:exon7:c.G158A:p.R53H;CTDSP2:ENST00000398073.7_5:exon7:c.G614A:p.R205H,CTDSP2:ENST00000547701.5_3:exon7:c.G158A:p.R53H</t>
  </si>
  <si>
    <t xml:space="preserve">60.64</t>
  </si>
  <si>
    <t xml:space="preserve">112</t>
  </si>
  <si>
    <t xml:space="preserve">103,9</t>
  </si>
  <si>
    <t xml:space="preserve">CTDSP2:NM_005730:exon7:c.G603T:p.K201N;CTDSP2:uc010ssg.2:exon2:c.G225T:p.K75N,CTDSP2:uc001sqm.3:exon7:c.G603T:p.K201N,CTDSP2:uc009zqf.3:exon7:c.G147T:p.K49N;CTDSP2:ENST00000398073.7_5:exon7:c.G603T:p.K201N,CTDSP2:ENST00000547701.5_3:exon7:c.G147T:p.K49N</t>
  </si>
  <si>
    <t xml:space="preserve">152.64</t>
  </si>
  <si>
    <t xml:space="preserve">40,9</t>
  </si>
  <si>
    <t xml:space="preserve">CTDSP2:NM_005730:exon4:c.T349A:p.F117I;CTDSP2:uc001sqm.3:exon4:c.T349A:p.F117I;CTDSP2:ENST00000398073.7_5:exon4:c.T349A:p.F117I</t>
  </si>
  <si>
    <t xml:space="preserve">67</t>
  </si>
  <si>
    <t xml:space="preserve">61,6</t>
  </si>
  <si>
    <t xml:space="preserve">CTDSP2:NM_005730:exon4:c.C332A:p.T111N;CTDSP2:uc001sqm.3:exon4:c.C332A:p.T111N;CTDSP2:ENST00000398073.7_5:exon4:c.C332A:p.T111N</t>
  </si>
  <si>
    <t xml:space="preserve">458.64</t>
  </si>
  <si>
    <t xml:space="preserve">54,19</t>
  </si>
  <si>
    <t xml:space="preserve">CTDSP2:NM_005730:exon4:c.C322A:p.L108I;CTDSP2:uc001sqm.3:exon4:c.C322A:p.L108I;CTDSP2:ENST00000398073.7_5:exon4:c.C322A:p.L108I</t>
  </si>
  <si>
    <t xml:space="preserve">2146.64</t>
  </si>
  <si>
    <t xml:space="preserve">82</t>
  </si>
  <si>
    <t xml:space="preserve">28,54</t>
  </si>
  <si>
    <t xml:space="preserve">CTDSP2:NM_005730:exon4:c.T317C:p.I106T;CTDSP2:uc001sqm.3:exon4:c.T317C:p.I106T;CTDSP2:ENST00000398073.7_5:exon4:c.T317C:p.I106T</t>
  </si>
  <si>
    <t xml:space="preserve">71,11</t>
  </si>
  <si>
    <t xml:space="preserve">CTDSP2:NM_005730:exon4:c.T314C:p.V105A;CTDSP2:uc001sqm.3:exon4:c.T314C:p.V105A;CTDSP2:ENST00000398073.7_5:exon4:c.T314C:p.V105A</t>
  </si>
  <si>
    <t xml:space="preserve">2166.64</t>
  </si>
  <si>
    <t xml:space="preserve">CTDSP2:NM_005730:exon4:c.G310A:p.V104M;CTDSP2:uc001sqm.3:exon4:c.G310A:p.V104M;CTDSP2:ENST00000398073.7_5:exon4:c.G310A:p.V104M</t>
  </si>
  <si>
    <t xml:space="preserve">162.64</t>
  </si>
  <si>
    <t xml:space="preserve">64,13</t>
  </si>
  <si>
    <t xml:space="preserve">CTDSP2:NM_005730:exon4:c.G302C:p.R101T;CTDSP2:uc001sqm.3:exon4:c.G302C:p.R101T;CTDSP2:ENST00000398073.7_5:exon4:c.G302C:p.R101T</t>
  </si>
  <si>
    <t xml:space="preserve">2206.64</t>
  </si>
  <si>
    <t xml:space="preserve">32,56</t>
  </si>
  <si>
    <t xml:space="preserve">CTDSP2:NM_005730:exon4:c.G292A:p.D98N;CTDSP2:uc001sqm.3:exon4:c.G292A:p.D98N;CTDSP2:ENST00000398073.7_5:exon4:c.G292A:p.D98N</t>
  </si>
  <si>
    <t xml:space="preserve">CTDSP2:NM_005730:exon4:c.G289A:p.E97K;CTDSP2:uc001sqm.3:exon4:c.G289A:p.E97K;CTDSP2:ENST00000398073.7_5:exon4:c.G289A:p.E97K</t>
  </si>
  <si>
    <t xml:space="preserve">36</t>
  </si>
  <si>
    <t xml:space="preserve">18,18</t>
  </si>
  <si>
    <t xml:space="preserve">CTDSP2:NM_005730:exon3:c.A251G:p.Q84R;CTDSP2:uc001sqm.3:exon3:c.A251G:p.Q84R;CTDSP2:ENST00000398073.7_5:exon3:c.A251G:p.Q84R</t>
  </si>
  <si>
    <t xml:space="preserve">D</t>
  </si>
  <si>
    <t xml:space="preserve">704.64</t>
  </si>
  <si>
    <t xml:space="preserve">18,20</t>
  </si>
  <si>
    <t xml:space="preserve">PTPRB:NM_001206971:exon15:c.A3544C:p.I1182L,PTPRB:NM_001206972:exon15:c.A3544C:p.I1182L,PTPRB:NM_002837:exon16:c.A3814C:p.I1272L,PTPRB:NM_001330204:exon17:c.A4204C:p.I1402L,PTPRB:NM_001109754:exon18:c.A4468C:p.I1490L;PTPRB:uc010sto.2:exon15:c.A3544C:p.I1182L,PTPRB:uc010stp.2:exon15:c.A3544C:p.I1182L,PTPRB:uc001swb.4:exon16:c.A3814C:p.I1272L,PTPRB:uc001swa.4:exon17:c.A4204C:p.I1402L,PTPRB:uc001swc.4:exon18:c.A4468C:p.I1490L,PTPRB:uc001swd.4:exon18:c.A4465C:p.I1489L,PTPRB:uc009zrr.2:exon18:c.A4105C:p.I1369L;PTPRB:ENST00000538708.5_3:exon15:c.A3544C:p.I1182L,PTPRB:ENST00000550857.5_7:exon15:c.A3544C:p.I1182L,PTPRB:ENST00000261266.9_5:exon16:c.A3814C:p.I1272L,PTPRB:ENST00000550358.5_4:exon17:c.A4204C:p.I1402L,PTPRB:ENST00000334414.11_6:exon18:c.A4468C:p.I1490L,PTPRB:ENST00000551525.5_3:exon18:c.A4465C:p.I1489L</t>
  </si>
  <si>
    <t xml:space="preserve">0.943502941208234</t>
  </si>
  <si>
    <t xml:space="preserve">protein tyrosine phosphatase, receptor type B</t>
  </si>
  <si>
    <t xml:space="preserve">FUNCTION: Plays an important role in blood vessel remodeling and angiogenesis. Not necessary for the initial formation of blood vessels, but is essential for their maintenance and remodeling. Can induce dephosphorylation of TEK/TIE2, CDH5/VE-cadherin and KDR/VEGFR-2. Regulates angiopoietin-TIE2 signaling in endothelial cells. Acts as a negative regulator of TIE2, and controls TIE2 driven endothelial cell proliferation, which in turn affects blood vessel remodeling during embryonic development and determines blood vessel size during perinatal growth. Essential for the maintenance of endothelial cell contact integrity and for the adhesive function of VE-cadherin in endothelial cells and this requires the presence of plakoglobin (By similarity). {ECO:0000250, ECO:0000269|PubMed:19116766, ECO:0000269|PubMed:19136612}.; </t>
  </si>
  <si>
    <t xml:space="preserve">304.64</t>
  </si>
  <si>
    <t xml:space="preserve">8,9</t>
  </si>
  <si>
    <t xml:space="preserve">E2F7:NM_203394:exon5:c.C824G:p.P275R;E2F7:uc001sym.4:exon5:c.C824G:p.P275R;E2F7:ENST00000322886.12_10:exon5:c.C824G:p.P275R,E2F7:ENST00000416496.6_8:exon5:c.C824G:p.P275R</t>
  </si>
  <si>
    <t xml:space="preserve">0.423130675694931</t>
  </si>
  <si>
    <t xml:space="preserve">E2F transcription factor 7</t>
  </si>
  <si>
    <t xml:space="preserve">FUNCTION: Atypical E2F transcription factor that participates in various processes such as angiogenesis, polyploidization of specialized cells and DNA damage response. Mainly acts as a transcription repressor that binds DNA independently of DP proteins and specifically recognizes the E2 recognition site 5'- TTTC[CG]CGC-3'. Directly represses transcription of classical E2F transcription factors such as E2F1. Acts as a regulator of S-phase by recognizing and binding the E2-related site 5'-TTCCCGCC-3' and mediating repression of G1/S-regulated genes. Plays a key role in polyploidization of cells in placenta and liver by regulating the endocycle, probably by repressing genes promoting cytokinesis and antagonizing action of classical E2F proteins (E2F1, E2F2 and/or E2F3). Required for placental development by promoting polyploidization of trophoblast giant cells. Also involved in DNA damage response: up-regulated by p53/TP53 following genotoxic stress and acts as a downstream effector of p53/TP53-dependent repression by mediating repression of indirect p53/TP53 target genes involved in DNA replication. Acts as a promoter of sprouting angiogenesis, possibly by acting as a transcription activator: associates with HIF1A, recognizes and binds the VEGFA promoter, which is different from canonical E2 recognition site, and activates expression of the VEGFA gene. Acts as a negative regulator of keratinocyte differentiation. {ECO:0000269|PubMed:14633988, ECO:0000269|PubMed:15133492, ECO:0000269|PubMed:18202719, ECO:0000269|PubMed:19223542, ECO:0000269|PubMed:21248772, ECO:0000269|PubMed:22802528, ECO:0000269|PubMed:22802529, ECO:0000269|PubMed:22903062}.; </t>
  </si>
  <si>
    <t xml:space="preserve">6,3</t>
  </si>
  <si>
    <t xml:space="preserve">EEA1:NM_003566:exon25:c.A3623G:p.K1208R;EEA1:uc001tck.3:exon25:c.A3623G:p.K1208R;EEA1:ENST00000322349.13_5:exon25:c.A3623G:p.K1208R</t>
  </si>
  <si>
    <t xml:space="preserve">0.6973588149443</t>
  </si>
  <si>
    <t xml:space="preserve">early endosome antigen 1</t>
  </si>
  <si>
    <t xml:space="preserve">FUNCTION: Binds phospholipid vesicles containing phosphatidylinositol 3-phosphate and participates in endosomal trafficking.; </t>
  </si>
  <si>
    <t xml:space="preserve">36,13</t>
  </si>
  <si>
    <t xml:space="preserve">STAB2:NM_017564:exon53:c.A5566C:p.N1856H;STAB2:uc001tjw.3:exon53:c.A5566C:p.N1856H;STAB2:ENST00000388887.7_3:exon53:c.A5566C:p.N1856H</t>
  </si>
  <si>
    <t xml:space="preserve">4.17567584164662e-28</t>
  </si>
  <si>
    <t xml:space="preserve">stabilin 2</t>
  </si>
  <si>
    <t xml:space="preserve">FUNCTION: Phosphatidylserine receptor that enhances the engulfment of apoptotic cells. Hyaluronan receptor that binds to and mediates endocytosis of hyaluronic acid (HA). Acts also, in different species, as a primary systemic scavenger receptor for heparin (Hep), chondroitin sulfate (CS), dermatan sulfate (DS), nonglycosaminoglycan (GAG), acetylated low-density lipoprotein (AcLDL), pro-collagen propeptides and advanced glycation end products (AGE). May serve to maintain tissue integrity by supporting extracellular matrix turnover or it may contribute to maintaining fluidity of bodily liquids by resorption of hyaluronan. Counter receptor which plays an important role in lymphocyte recruitment in the hepatic vasculature. Binds to both Gram-positive and Gram-negative bacteria and may play a role in defense against bacterial infection. The proteolytically processed 190 kDa form also functions as an endocytosis receptor for heparin internalisation as well as HA and CS. {ECO:0000269|PubMed:12077138, ECO:0000269|PubMed:12473645, ECO:0000269|PubMed:15208308, ECO:0000269|PubMed:15572036, ECO:0000269|PubMed:17145755, ECO:0000269|PubMed:17675564, ECO:0000269|PubMed:17962816, ECO:0000269|PubMed:18230608, ECO:0000269|PubMed:18434317, ECO:0000269|PubMed:18573870, ECO:0000269|PubMed:19359419}.; </t>
  </si>
  <si>
    <t xml:space="preserve">ANKRD13A:NM_033121:exon12:c.A1250G:p.H417R;ANKRD13A:uc001tqa.3:exon2:c.A164G:p.H55R,ANKRD13A:uc001tpz.3:exon3:c.A164G:p.H55R,ANKRD13A:uc001tpx.3:exon12:c.A1250G:p.H417R,ANKRD13A:uc010sxw.2:exon12:c.A1247G:p.H416R;ANKRD13A:ENST00000261739.9_3:exon12:c.A1250G:p.H417R</t>
  </si>
  <si>
    <t xml:space="preserve">0.350624808697698</t>
  </si>
  <si>
    <t xml:space="preserve">ankyrin repeat domain 13A</t>
  </si>
  <si>
    <t xml:space="preserve">FUNCTION: Ubiquitin-binding protein that specifically recognizes and binds 'Lys-63'-linked ubiquitin. Does not bind 'Lys-48'-linked ubiquitin. Positively regulates the internalization of ligand- activated EGFR by binding to the Ub moiety of ubiquitinated EGFR at the cell membrane. {ECO:0000269|PubMed:22298428}.; </t>
  </si>
  <si>
    <t xml:space="preserve">CABP1:NM_031205:exon2:c.C61G:p.Q21E;CABP1:uc001tyx.3:exon1:c.C16G:p.Q6E,CABP1:uc001tyv.4:exon2:c.C61G:p.Q21E;CABP1:ENST00000453000.1_1:exon1:c.C298G:p.Q100E,CABP1:ENST00000288616.7_4:exon2:c.C61G:p.Q21E</t>
  </si>
  <si>
    <t xml:space="preserve">3/9</t>
  </si>
  <si>
    <t xml:space="preserve">0.994401234059643</t>
  </si>
  <si>
    <t xml:space="preserve">calcium binding protein 1</t>
  </si>
  <si>
    <t xml:space="preserve">FUNCTION: Modulates calcium-dependent activity of inositol 1,4,5- triphosphate receptors (ITPRs). Inhibits agonist-induced intracellular calcium signaling. Enhances inactivation and does not support calcium-dependent facilitation of voltage-dependent P/Q-type calcium channels. Causes calcium-dependent facilitation and inhibits inactivation of L-type calcium channels by binding to the same sites as calmodulin in the C-terminal domain of CACNA1C, but resulting in an opposit effects on channel function. Suppresses the calcium-dependent inactivation of CACNA1D (By similarity). Inhibits TRPC5 channels. Prevents NMDA receptor- induced cellular degeneration (By similarity). {ECO:0000250, ECO:0000269|PubMed:11865310, ECO:0000269|PubMed:14570872, ECO:0000269|PubMed:15140941, ECO:0000269|PubMed:15895247, ECO:0000269|PubMed:15980432}.; </t>
  </si>
  <si>
    <t xml:space="preserve">466.64</t>
  </si>
  <si>
    <t xml:space="preserve">44</t>
  </si>
  <si>
    <t xml:space="preserve">25,19</t>
  </si>
  <si>
    <t xml:space="preserve">ABCB9:NM_001243013:exon4:c.G842A:p.R281H,ABCB9:NM_001243014:exon4:c.G842A:p.R281H,ABCB9:NM_019624:exon4:c.G842A:p.R281H,ABCB9:NM_019625:exon4:c.G842A:p.R281H,ABCB9:NM_203444:exon4:c.G842A:p.R281H;ABCB9:uc001udr.3:exon3:c.G842A:p.R281H,ABCB9:uc001udm.4:exon4:c.G842A:p.R281H,ABCB9:uc001udo.4:exon4:c.G842A:p.R281H,ABCB9:uc001udq.3:exon4:c.G188A:p.R63H,ABCB9:uc010taj.2:exon4:c.G842A:p.R281H,ABCB9:uc021rfo.1:exon4:c.G842A:p.R281H,ABCB9:uc021rfp.1:exon4:c.G842A:p.R281H,ABCB9:uc021rfq.1:exon4:c.G842A:p.R281H;ABCB9:ENST00000280560.13_10:exon4:c.G842A:p.R281H,ABCB9:ENST00000344275.11_3:exon4:c.G842A:p.R281H,ABCB9:ENST00000346530.9_3:exon4:c.G842A:p.R281H,ABCB9:ENST00000392439.7_8:exon4:c.G842A:p.R281H,ABCB9:ENST00000442833.6_3:exon4:c.G842A:p.R281H,ABCB9:ENST00000540285.5_3:exon4:c.G842A:p.R281H,ABCB9:ENST00000542678.5_8:exon4:c.G842A:p.R281H</t>
  </si>
  <si>
    <t xml:space="preserve">0.00290110755910397</t>
  </si>
  <si>
    <t xml:space="preserve">ATP binding cassette subfamily B member 9</t>
  </si>
  <si>
    <t xml:space="preserve">FUNCTION: ATP-dependent low-affinity peptide transporter which translocates a broad spectrum of peptides from the cytosol to the lysosomal lumen. Displays a broad peptide length specificity from 6-mer up to at least 59-mer peptides with an optimum of 23-mers. Favors positively charged, aromatic or hydrophobic residues in the N- and C-terminal positions whereas negatively charged residues as well as asparagine and methionine are not favored. {ECO:0000269|PubMed:15863492, ECO:0000269|PubMed:17977821, ECO:0000269|PubMed:18434309}.; </t>
  </si>
  <si>
    <t xml:space="preserve">237.64</t>
  </si>
  <si>
    <t xml:space="preserve">83</t>
  </si>
  <si>
    <t xml:space="preserve">72,11</t>
  </si>
  <si>
    <t xml:space="preserve">KMT5A:NM_001324506:exon2:c.A38G:p.K13R,KMT5A:NM_001324505:exon3:c.A191G:p.K64R,KMT5A:NM_001367388:exon3:c.A251G:p.K84R,KMT5A:NM_001367389:exon3:c.A38G:p.K13R,KMT5A:NM_001367386:exon4:c.A344G:p.K115R,KMT5A:NM_020382:exon4:c.A362G:p.K121R,KMT5A:NM_001324504:exon5:c.A272G:p.K91R;SETD8:uc001uew.3:exon4:c.A362G:p.K121R;KMT5A:ENST00000402868.8_5:exon4:c.A362G:p.K121R</t>
  </si>
  <si>
    <t xml:space="preserve">4;4</t>
  </si>
  <si>
    <t xml:space="preserve">lysine methyltransferase 5A</t>
  </si>
  <si>
    <t xml:space="preserve">FUNCTION: Protein-lysine N-methyltransferase that monomethylates both histones and non-histone proteins. Specifically monomethylates 'Lys-20' of histone H4 (H4K20me1). H4K20me1 is enriched during mitosis and represents a specific tag for epigenetic transcriptional repression. Mainly functions in euchromatin regions, thereby playing a central role in the silencing of euchromatic genes. Required for cell proliferation, probably by contributing to the maintenance of proper higher-order structure of DNA during mitosis. Involved in chromosome condensation and proper cytokinesis. Nucleosomes are preferred as substrate compared to free histones. Mediates monomethylation of p53/TP53 at 'Lys-382', leading to repress p53/TP53-target genes. Plays a negative role in TGF-beta response regulation and a positive role in cell migration. {ECO:0000269|PubMed:12086618, ECO:0000269|PubMed:12121615, ECO:0000269|PubMed:15200950, ECO:0000269|PubMed:15933069, ECO:0000269|PubMed:15933070, ECO:0000269|PubMed:16517599, ECO:0000269|PubMed:17707234, ECO:0000269|PubMed:23478445}.; </t>
  </si>
  <si>
    <t xml:space="preserve">KMT5A:NM_001324506:exon2:c.G40C:p.G14R,KMT5A:NM_001324505:exon3:c.G193C:p.G65R,KMT5A:NM_001367388:exon3:c.G253C:p.G85R,KMT5A:NM_001367389:exon3:c.G40C:p.G14R,KMT5A:NM_001367386:exon4:c.G346C:p.G116R,KMT5A:NM_020382:exon4:c.G364C:p.G122R,KMT5A:NM_001324504:exon5:c.G274C:p.G92R;SETD8:uc001uew.3:exon4:c.G364C:p.G122R;KMT5A:ENST00000402868.8_5:exon4:c.G364C:p.G122R</t>
  </si>
  <si>
    <t xml:space="preserve">202.64</t>
  </si>
  <si>
    <t xml:space="preserve">80,16</t>
  </si>
  <si>
    <t xml:space="preserve">KMT5A:NM_001324506:exon6:c.T580C:p.C194R,KMT5A:NM_001324505:exon7:c.T733C:p.C245R,KMT5A:NM_001367388:exon7:c.T793C:p.C265R,KMT5A:NM_001367389:exon7:c.T580C:p.C194R,KMT5A:NM_001367386:exon8:c.T886C:p.C296R,KMT5A:NM_020382:exon8:c.T904C:p.C302R,KMT5A:NM_001324504:exon9:c.T814C:p.C272R;SETD8:uc001uew.3:exon8:c.T904C:p.C302R;KMT5A:ENST00000402868.8_5:exon8:c.T904C:p.C302R</t>
  </si>
  <si>
    <t xml:space="preserve">155.64</t>
  </si>
  <si>
    <t xml:space="preserve">67,12</t>
  </si>
  <si>
    <t xml:space="preserve">KMT5A:NM_001324506:exon6:c.T671C:p.L224P,KMT5A:NM_001324505:exon7:c.T824C:p.L275P,KMT5A:NM_001367388:exon7:c.T884C:p.L295P,KMT5A:NM_001367389:exon7:c.T671C:p.L224P,KMT5A:NM_001367386:exon8:c.T977C:p.L326P,KMT5A:NM_020382:exon8:c.T995C:p.L332P,KMT5A:NM_001324504:exon9:c.T905C:p.L302P;SETD8:uc001uew.3:exon8:c.T995C:p.L332P;KMT5A:ENST00000402868.8_5:exon8:c.T995C:p.L332P</t>
  </si>
  <si>
    <t xml:space="preserve">1073.64</t>
  </si>
  <si>
    <t xml:space="preserve">38,33</t>
  </si>
  <si>
    <t xml:space="preserve">DNAH10:NM_207437:exon48:c.A8026G:p.T2676A,DNAH10:NM_001372106:exon49:c.A8380G:p.T2794A;DNAH10:uc001uft.4:exon48:c.A8026G:p.T2676A;DNAH10:ENST00000409039.8_5:exon48:c.A8209G:p.T2737A,DNAH10:ENST00000638045.1_3:exon48:c.A8026G:p.T2676A,DNAH10:ENST00000673944.1_3:exon49:c.A8380G:p.T2794A</t>
  </si>
  <si>
    <t xml:space="preserve">4.14031534574386e-37</t>
  </si>
  <si>
    <t xml:space="preserve">dynein axonemal heavy chain 10</t>
  </si>
  <si>
    <t xml:space="preserve">FUNCTION: Force generating protein of respiratory cilia. Produces force towards the minus ends of microtubules. Dynein has ATPase activity; the force-producing power stroke is thought to occur on release of ADP. Involved in sperm motility; implicated in sperm flagellar assembly (By similarity). Probable inner arm dynein heavy chain. {ECO:0000250}.; </t>
  </si>
  <si>
    <t xml:space="preserve">792.64</t>
  </si>
  <si>
    <t xml:space="preserve">41,22</t>
  </si>
  <si>
    <t xml:space="preserve">MLNR:NM_001507:exon1:c.C499G:p.L167V;MLNR:uc010tgj.2:exon1:c.C499G:p.L167V;MLNR:ENST00000218721.1_3:exon1:c.C499G:p.L167V</t>
  </si>
  <si>
    <t xml:space="preserve">0.0465876752547782</t>
  </si>
  <si>
    <t xml:space="preserve">motilin receptor</t>
  </si>
  <si>
    <t xml:space="preserve">FUNCTION: Receptor for motilin. {ECO:0000269|PubMed:11322507}.; </t>
  </si>
  <si>
    <t xml:space="preserve">MLNR:NM_001507:exon1:c.T500G:p.L167R;MLNR:uc010tgj.2:exon1:c.T500G:p.L167R;MLNR:ENST00000218721.1_3:exon1:c.T500G:p.L167R</t>
  </si>
  <si>
    <t xml:space="preserve">92.64</t>
  </si>
  <si>
    <t xml:space="preserve">6,4</t>
  </si>
  <si>
    <t xml:space="preserve">KLHL1:NM_020866:exon2:c.C526T:p.P176S;KLHL1:uc001vip.3:exon2:c.C526T:p.P176S;KLHL1:ENST00000377844.9_5:exon2:c.C526T:p.P176S</t>
  </si>
  <si>
    <t xml:space="preserve">0.00808344241005034</t>
  </si>
  <si>
    <t xml:space="preserve">kelch like family member 1</t>
  </si>
  <si>
    <t xml:space="preserve">FUNCTION: May play a role in organizing the actin cytoskeleton of the brain cells.; </t>
  </si>
  <si>
    <t xml:space="preserve">295.64</t>
  </si>
  <si>
    <t xml:space="preserve">21</t>
  </si>
  <si>
    <t xml:space="preserve">10,11</t>
  </si>
  <si>
    <t xml:space="preserve">LMO7:NM_001366634:exon7:c.A313T:p.I105L,LMO7:NM_001366636:exon7:c.A313T:p.I105L,LMO7:NM_015842:exon7:c.A595T:p.I199L,LMO7:NM_001330583:exon8:c.A595T:p.I199L,LMO7:NM_001366632:exon8:c.A595T:p.I199L,LMO7:NM_001366633:exon8:c.A1168T:p.I390L,LMO7:NM_001306080:exon10:c.A1294T:p.I432L;LMO7:uc001vjw.1:exon2:c.A313T:p.I105L,LMO7:uc001vjv.3:exon7:c.A595T:p.I199L,LMO7:uc021rkq.1:exon10:c.A1294T:p.I432L;LMO7:ENST00000465261.6_2:exon7:c.A595T:p.I199L,LMO7:ENST00000321797.12_4:exon8:c.A595T:p.I199L,LMO7:ENST00000605961.2_2:exon8:c.A595T:p.I199L,LMO7:ENST00000377534.8_9:exon10:c.A1294T:p.I432L,LMO7:ENST00000357063.7_3:exon11:c.A1405T:p.I469L</t>
  </si>
  <si>
    <t xml:space="preserve">0.0416242513975852</t>
  </si>
  <si>
    <t xml:space="preserve">LIM domain 7</t>
  </si>
  <si>
    <t xml:space="preserve">41.64</t>
  </si>
  <si>
    <t xml:space="preserve">OXGR1:NM_001346194:exon4:c.A1014T:p.X338C,OXGR1:NM_001346195:exon4:c.A1014T:p.X338C,OXGR1:NM_001346196:exon4:c.A1014T:p.X338C,OXGR1:NM_001346197:exon4:c.A1014T:p.X338C,OXGR1:NM_080818:exon4:c.A1014T:p.X338C;OXGR1:uc021rlr.1:exon1:c.A1014T:p.X338C,OXGR1:uc001vmx.1:exon4:c.A1014T:p.X338C,OXGR1:uc010afr.1:exon4:c.A1014T:p.X338C;OXGR1:ENST00000298440.5_3:exon4:c.A1014T:p.X338C,OXGR1:ENST00000541038.2_4:exon4:c.A1014T:p.X338C,OXGR1:ENST00000543457.6_4:exon4:c.A1014T:p.X338C</t>
  </si>
  <si>
    <t xml:space="preserve">0.000863935505500482</t>
  </si>
  <si>
    <t xml:space="preserve">oxoglutarate receptor 1</t>
  </si>
  <si>
    <t xml:space="preserve">FUNCTION: Receptor for alpha-ketoglutarate. Seems to act exclusively through a G(q)-mediated pathway (By similarity). {ECO:0000250}.; </t>
  </si>
  <si>
    <t xml:space="preserve">1755.64</t>
  </si>
  <si>
    <t xml:space="preserve">107</t>
  </si>
  <si>
    <t xml:space="preserve">49,58</t>
  </si>
  <si>
    <t xml:space="preserve">SLC8A3:NM_033262:exon2:c.A1322G:p.N441S,SLC8A3:NM_058240:exon2:c.A1322G:p.N441S,SLC8A3:NM_182932:exon2:c.A1322G:p.N441S,SLC8A3:NM_183002:exon2:c.A1322G:p.N441S;SLC8A3:uc001xlw.3:exon2:c.A1322G:p.N441S,SLC8A3:uc001xlx.3:exon2:c.A1322G:p.N441S,SLC8A3:uc001xly.3:exon2:c.A1322G:p.N441S,SLC8A3:uc001xlz.3:exon2:c.A1322G:p.N441S;SLC8A3:ENST00000528359.5_4:exon1:c.A1322G:p.N441S,SLC8A3:ENST00000534137.5_4:exon1:c.A1322G:p.N441S,SLC8A3:ENST00000356921.7_11:exon2:c.A1322G:p.N441S,SLC8A3:ENST00000357887.7_4:exon2:c.A1322G:p.N441S,SLC8A3:ENST00000381269.6_6:exon2:c.A1322G:p.N441S</t>
  </si>
  <si>
    <t xml:space="preserve">0.621079527402869</t>
  </si>
  <si>
    <t xml:space="preserve">solute carrier family 8 member A3</t>
  </si>
  <si>
    <t xml:space="preserve">FUNCTION: Mediates the electrogenic exchange of Ca(2+) against Na(+) ions across the cell membrane, and thereby contributes to the regulation of cytoplasmic Ca(2+) levels and Ca(2+)-dependent cellular processes. Contributes to cellular Ca(2+) homeostasis in excitable cells, both in muscle and in brain. In a first phase, voltage-gated channels mediate the rapid increase of cytoplasmic Ca(2+) levels due to release of Ca(2+) stores from the endoplasmic reticulum. SLC8A3 mediates the export of Ca(2+) from the cell during the next phase, so that cytoplasmic Ca(2+) levels rapidly return to baseline. Contributes to Ca(2+) transport during excitation-contraction coupling in muscle. In neurons, contributes to the rapid decrease of cytoplasmic Ca(2+) levels back to baseline after neuronal activation, and thereby contributes to modulate synaptic plasticity, learning and memory (By similarity). Required for normal oligodendrocyte differentiation and for normal myelination (PubMed:21959935). Mediates Ca(2+) efflux from mitochondria and contributes to mitochondrial Ca(2+) ion homeostasis (By similarity). {ECO:0000250|UniProtKB:S4R2P9, ECO:0000269|PubMed:21959935}.; </t>
  </si>
  <si>
    <t xml:space="preserve">498.64</t>
  </si>
  <si>
    <t xml:space="preserve">27</t>
  </si>
  <si>
    <t xml:space="preserve">10,17</t>
  </si>
  <si>
    <t xml:space="preserve">ATG2B:NM_018036:exon22:c.A3482G:p.D1161G;ATG2B:uc001yfi.3:exon22:c.A3482G:p.D1161G;ATG2B:ENST00000359933.6_5:exon22:c.A3482G:p.D1161G</t>
  </si>
  <si>
    <t xml:space="preserve">8.12742750734489e-05</t>
  </si>
  <si>
    <t xml:space="preserve">autophagy related 2B</t>
  </si>
  <si>
    <t xml:space="preserve">FUNCTION: Required for both autophagosome formation and regulation of lipid droplet morphology and dispersion. {ECO:0000269|PubMed:22219374}.; </t>
  </si>
  <si>
    <t xml:space="preserve">934.64</t>
  </si>
  <si>
    <t xml:space="preserve">53,35</t>
  </si>
  <si>
    <t xml:space="preserve">EVL:NM_001330221:exon9:c.G905A:p.S302N,EVL:NM_016337:exon9:c.G911A:p.S304N;EVL:uc001ygt.3:exon9:c.G905A:p.S302N,EVL:uc001ygu.3:exon9:c.G911A:p.S304N,EVL:uc001ygv.2:exon9:c.G923A:p.S308N;EVL:ENST00000392920.8_6:exon9:c.G911A:p.S304N,EVL:ENST00000402714.6_4:exon9:c.G905A:p.S302N,EVL:ENST00000544450.6_1:exon9:c.G923A:p.S308N</t>
  </si>
  <si>
    <t xml:space="preserve">0.992615269783271</t>
  </si>
  <si>
    <t xml:space="preserve">Enah/Vasp-like</t>
  </si>
  <si>
    <t xml:space="preserve">FUNCTION: Ena/VASP proteins are actin-associated proteins involved in a range of processes dependent on cytoskeleton remodeling and cell polarity such as axon guidance and lamellipodial and filopodial dynamics in migrating cells. EVL enhances actin nucleation and polymerization.; </t>
  </si>
  <si>
    <t xml:space="preserve">52.64</t>
  </si>
  <si>
    <t xml:space="preserve">25</t>
  </si>
  <si>
    <t xml:space="preserve">22,3</t>
  </si>
  <si>
    <t xml:space="preserve">GOLGA6L2:NM_001304388:exon8:c.G1459A:p.E487K;GOLGA6L2:uc021sfy.1:exon8:c.G1423A:p.E475K;GOLGA6L2:ENST00000567107.6_9:exon8:c.G1459A:p.E487K</t>
  </si>
  <si>
    <t xml:space="preserve">0/5</t>
  </si>
  <si>
    <t xml:space="preserve">8.97094503942648e-06</t>
  </si>
  <si>
    <t xml:space="preserve">golgin A6 family-like 2</t>
  </si>
  <si>
    <t xml:space="preserve">673.64</t>
  </si>
  <si>
    <t xml:space="preserve">27,25</t>
  </si>
  <si>
    <t xml:space="preserve">FAM189A1:NM_015307:exon6:c.G682A:p.G228S;FAM189A1:uc001zcn.2:exon3:c.G94A:p.G32S,FAM189A1:uc010azk.1:exon6:c.G682A:p.G228S;FAM189A1:ENST00000261275.5_5:exon6:c.G682A:p.G228S</t>
  </si>
  <si>
    <t xml:space="preserve">family with sequence similarity 189 member A1</t>
  </si>
  <si>
    <t xml:space="preserve">1322.64</t>
  </si>
  <si>
    <t xml:space="preserve">84</t>
  </si>
  <si>
    <t xml:space="preserve">43,41</t>
  </si>
  <si>
    <t xml:space="preserve">BAHD1:NM_001301132:exon2:c.C55T:p.R19C,BAHD1:NM_014952:exon2:c.C55T:p.R19C;BAHD1:uc001zlv.2:exon1:c.C55T:p.R19C,BAHD1:uc001zlt.2:exon2:c.C55T:p.R19C,BAHD1:uc001zlu.2:exon2:c.C55T:p.R19C,BAHD1:uc010bbp.1:exon2:c.C55T:p.R19C;BAHD1:ENST00000560846.1_7:exon1:c.C55T:p.R19C,BAHD1:ENST00000416165.6_8:exon2:c.C55T:p.R19C,BAHD1:ENST00000561234.5_6:exon2:c.C55T:p.R19C</t>
  </si>
  <si>
    <t xml:space="preserve">0.991930031952242</t>
  </si>
  <si>
    <t xml:space="preserve">bromo adjacent homology domain containing 1</t>
  </si>
  <si>
    <t xml:space="preserve">FUNCTION: Heterochromatin protein that acts as a transcription repressor and has the ability to promote the formation of large heterochromatic domains. May act by recruiting heterochromatin proteins such as CBX5 (HP1 alpha), HDAC5 and MBD1. Represses IGF2 expression by binding to its CpG-rich P3 promoter and recruiting heterochromatin proteins. At specific stages of Listeria infection, in complex with TRIM28, corepresses interferon- stimulated genes, including IFNL1, IFNL2 and IFNL3. {ECO:0000269|PubMed:19666599, ECO:0000269|PubMed:21252314}.; </t>
  </si>
  <si>
    <t xml:space="preserve">563.64</t>
  </si>
  <si>
    <t xml:space="preserve">57</t>
  </si>
  <si>
    <t xml:space="preserve">36,21</t>
  </si>
  <si>
    <t xml:space="preserve">SPTBN5:NM_016642:exon46:c.G7815A:p.W2605X;SPTBN5:uc001zos.4:exon46:c.G7815A:p.W2605X;SPTBN5:ENST00000320955.8_5:exon46:c.G7815A:p.W2605X</t>
  </si>
  <si>
    <t xml:space="preserve">1.09010380481407e-70</t>
  </si>
  <si>
    <t xml:space="preserve">spectrin beta, non-erythrocytic 5</t>
  </si>
  <si>
    <t xml:space="preserve">189.64</t>
  </si>
  <si>
    <t xml:space="preserve">9,6</t>
  </si>
  <si>
    <t xml:space="preserve">UBR1:NM_174916:exon39:c.C4318T:p.H1440Y;UBR1:uc001zqq.3:exon39:c.C4318T:p.H1440Y;UBR1:ENST00000290650.9_5:exon39:c.C4318T:p.H1440Y</t>
  </si>
  <si>
    <t xml:space="preserve">0.319889980799525</t>
  </si>
  <si>
    <t xml:space="preserve">ubiquitin protein ligase E3 component n-recognin 1</t>
  </si>
  <si>
    <t xml:space="preserve">FUNCTION: E3 ubiquitin-protein ligase which is a component of the N-end rule pathway. Recognizes and binds to proteins bearing specific N-terminal residues that are destabilizing according to the N-end rule, leading to their ubiquitination and subsequent degradation. May be involved in pancreatic homeostasis. Binds leucine and is a negative regulator of the leucine-mTOR signaling pathway, thereby controlling cell growth. {ECO:0000269|PubMed:15548684, ECO:0000269|PubMed:16311597, ECO:0000269|PubMed:20298436, ECO:0000269|PubMed:20835242}.; </t>
  </si>
  <si>
    <t xml:space="preserve">DISEASE: Johanson-Blizzard syndrome (JBS) [MIM:243800]: This disorder includes congenital exocrine pancreatic insufficiency, multiple malformations such as nasal wing aplasia, and frequent mental retardation. Pancreas of individuals with JBS do not express UBR1 and show intrauterine-onset destructive pancreatitis. {ECO:0000269|PubMed:16311597}. Note=The disease is caused by mutations affecting the gene represented in this entry.; </t>
  </si>
  <si>
    <t xml:space="preserve">529.64</t>
  </si>
  <si>
    <t xml:space="preserve">11,19</t>
  </si>
  <si>
    <t xml:space="preserve">FRMD5:NM_001322951:exon9:c.T733C:p.C245R,FRMD5:NM_001322949:exon10:c.T838C:p.C280R,FRMD5:NM_001322950:exon10:c.T838C:p.C280R,FRMD5:NM_032892:exon10:c.T838C:p.C280R,FRMD5:NM_001286490:exon11:c.T556C:p.C186R,FRMD5:NM_001286491:exon11:c.T136C:p.C46R;FRMD5:uc001ztl.3:exon10:c.T838C:p.C280R,FRMD5:uc001ztk.1:exon11:c.T556C:p.C186R,FRMD5:uc001ztn.3:exon11:c.T136C:p.C46R;FRMD5:ENST00000402883.5_5:exon10:c.T838C:p.C280R,FRMD5:ENST00000417257.6_7:exon10:c.T838C:p.C280R,FRMD5:ENST00000618556.4_3:exon10:c.T136C:p.C46R,FRMD5:ENST00000484674.5_3:exon11:c.T556C:p.C186R</t>
  </si>
  <si>
    <t xml:space="preserve">0.991843164486017</t>
  </si>
  <si>
    <t xml:space="preserve">FERM domain containing 5</t>
  </si>
  <si>
    <t xml:space="preserve">748.64</t>
  </si>
  <si>
    <t xml:space="preserve">21,25</t>
  </si>
  <si>
    <t xml:space="preserve">FRMD5:NM_001322951:exon7:c.G605A:p.R202K,FRMD5:NM_001322949:exon8:c.G710A:p.R237K,FRMD5:NM_001322950:exon8:c.G710A:p.R237K,FRMD5:NM_032892:exon8:c.G710A:p.R237K,FRMD5:NM_001286490:exon9:c.G443A:p.R148K;FRMD5:uc001ztl.3:exon8:c.G710A:p.R237K,FRMD5:uc001ztk.1:exon9:c.G443A:p.R148K;FRMD5:ENST00000402883.5_5:exon8:c.G710A:p.R237K,FRMD5:ENST00000417257.6_7:exon8:c.G710A:p.R237K,FRMD5:ENST00000484674.5_3:exon9:c.G443A:p.R148K</t>
  </si>
  <si>
    <t xml:space="preserve">9,2</t>
  </si>
  <si>
    <t xml:space="preserve">GOLM2:NM_138423:exon4:c.C502T:p.Q168X,GOLM2:NM_177974:exon4:c.C502T:p.Q168X;CASC4:uc001zto.2:exon4:c.C502T:p.Q168X,CASC4:uc001ztp.3:exon4:c.C502T:p.Q168X,CASC4:uc001ztq.3:exon4:c.C502T:p.Q168X;GOLM2:ENST00000299957.11_4:exon4:c.C502T:p.Q168X,GOLM2:ENST00000345795.6_1:exon4:c.C502T:p.Q168X,GOLM2:ENST00000650436.1_1:exon6:c.C145T:p.Q49X</t>
  </si>
  <si>
    <t xml:space="preserve">3/3</t>
  </si>
  <si>
    <t xml:space="preserve">0.000967729828290193</t>
  </si>
  <si>
    <t xml:space="preserve">cancer susceptibility candidate 4</t>
  </si>
  <si>
    <t xml:space="preserve">12</t>
  </si>
  <si>
    <t xml:space="preserve">7,5</t>
  </si>
  <si>
    <t xml:space="preserve">LYSMD2:NM_153374:exon1:c.C16G:p.P6A;LYSMD2:uc002abi.3:exon1:c.C16G:p.P6A;LYSMD2:ENST00000267838.7_5:exon1:c.C16G:p.P6A</t>
  </si>
  <si>
    <t xml:space="preserve">5/9</t>
  </si>
  <si>
    <t xml:space="preserve">0.256648623702389</t>
  </si>
  <si>
    <t xml:space="preserve">LysM domain containing 2</t>
  </si>
  <si>
    <t xml:space="preserve">424.64</t>
  </si>
  <si>
    <t xml:space="preserve">10,14</t>
  </si>
  <si>
    <t xml:space="preserve">ADAMTS7:NM_014272:exon2:c.C377T:p.P126L;ADAMTS7:uc002bej.4:exon2:c.C377T:p.P126L,ADAMTS7:uc002bek.1:exon2:c.C377T:p.P126L,ADAMTS7:uc010und.1:exon2:c.C377T:p.P126L;ADAMTS7:ENST00000388820.5_5:exon2:c.C377T:p.P126L</t>
  </si>
  <si>
    <t xml:space="preserve">2.98948787387487e-07</t>
  </si>
  <si>
    <t xml:space="preserve">ADAM metallopeptidase with thrombospondin type 1 motif 7</t>
  </si>
  <si>
    <t xml:space="preserve">FUNCTION: Metalloprotease that may play a role in the degradation of COMP. {ECO:0000269|PubMed:16585064}.; </t>
  </si>
  <si>
    <t xml:space="preserve">486.64</t>
  </si>
  <si>
    <t xml:space="preserve">24,14</t>
  </si>
  <si>
    <t xml:space="preserve">CAPN15:NM_005632:exon11:c.G2578A:p.G860S;SOLH:uc002chi.3:exon11:c.G2578A:p.G860S;CAPN15:ENST00000219611.7_3:exon11:c.G2578A:p.G860S</t>
  </si>
  <si>
    <t xml:space="preserve">0.965209511170234</t>
  </si>
  <si>
    <t xml:space="preserve">calpain 15</t>
  </si>
  <si>
    <t xml:space="preserve">1213.64</t>
  </si>
  <si>
    <t xml:space="preserve">34,44</t>
  </si>
  <si>
    <t xml:space="preserve">CIAO3:NM_022493:exon10:c.G1093A:p.A365T,CIAO3:NM_001304799:exon11:c.G787A:p.A263T;NARFL:uc002cjp.3:exon8:c.G787A:p.A263T,NARFL:uc002cjr.3:exon10:c.G1093A:p.A365T;CIAO3:ENST00000568545.5_3:exon8:c.G787A:p.A263T,CIAO3:ENST00000540986.5_3:exon9:c.G787A:p.A263T,CIAO3:ENST00000251588.7_5:exon10:c.G1093A:p.A365T</t>
  </si>
  <si>
    <t xml:space="preserve">1.04511224704187e-05</t>
  </si>
  <si>
    <t xml:space="preserve">nuclear prelamin A recognition factor-like</t>
  </si>
  <si>
    <t xml:space="preserve">FUNCTION: Component of the cytosolic iron-sulfur protein assembly (CIA) complex, a multiprotein complex that mediates the incorporation of iron-sulfur cluster into extramitochondrial Fe/S proteins. Seems to negatively regulate the level of HIF1A expression, although this effect could be indirect. {ECO:0000269|PubMed:16956324, ECO:0000269|PubMed:18270200}.; </t>
  </si>
  <si>
    <t xml:space="preserve">513.64</t>
  </si>
  <si>
    <t xml:space="preserve">33,17</t>
  </si>
  <si>
    <t xml:space="preserve">TBL3:NM_006453:exon13:c.A1220T:p.K407M;TBL3:uc010bsc.1:exon9:c.A878T:p.K293M,TBL3:uc002cnv.1:exon12:c.A878T:p.K293M,TBL3:uc002cnu.1:exon13:c.A1220T:p.K407M;TBL3:ENST00000568546.6_7:exon13:c.A1220T:p.K407M</t>
  </si>
  <si>
    <t xml:space="preserve">1.53647496342632e-06</t>
  </si>
  <si>
    <t xml:space="preserve">transducin (beta)-like 3</t>
  </si>
  <si>
    <t xml:space="preserve">1557.64</t>
  </si>
  <si>
    <t xml:space="preserve">132</t>
  </si>
  <si>
    <t xml:space="preserve">74,58</t>
  </si>
  <si>
    <t xml:space="preserve">MEFV:NM_000243:exon10:c.G2179C:p.G727R;MEFV:uc021tby.1:exon6:c.G688C:p.G230R,MEFV:uc021tbz.1:exon6:c.G436C:p.G146R,MEFV:uc021tbx.1:exon7:c.G919C:p.G307R,MEFV:uc002cun.1:exon10:c.G2179C:p.G727R;MEFV:ENST00000536379.5_3:exon9:c.G1546C:p.G516R,MEFV:ENST00000219596.6_6:exon10:c.G2179C:p.G727R,MEFV:ENST00000339854.8_3:exon10:c.G1639C:p.G547R</t>
  </si>
  <si>
    <t xml:space="preserve">1.12014488205382e-08</t>
  </si>
  <si>
    <t xml:space="preserve">Mediterranean fever</t>
  </si>
  <si>
    <t xml:space="preserve">FUNCTION: Involved in the regulation of innate immunity and the inflammatory response in response to IFNG/IFN-gamma. Organizes autophagic machinery by serving as a platform for the assembly of ULK1, Beclin 1/BECN1, ATG16L1, and ATG8 family members and recognizes specific autophagy targets, thus coordinating target recognition with assembly of the autophagic apparatus and initiation of autophagy. Acts as an autophagy receptor for the degradation of several inflammasome components, including CASP1, NLRP1 and NLRP3, hence preventing excessive IL1B- and IL18- mediated inflammation (PubMed:16785446, PubMed:17431422, PubMed:26347139). However, it may also have a positive effect in the inflammatory pathway. In different experimental systems, it has been shown to activate IL1B production (PubMed:16037825). It has also been shown to be required for PSTPIP1-induced PYCARD oligomerization and for formation of inflammasomes. Recruits PSTPIP1 to inflammasomes, and is required for PSTPIP1 oligomerization (PubMed:10807793, PubMed:11468188, PubMed:17964261, PubMed:18577712, PubMed:19109554, PubMed:19584923). {ECO:0000269|PubMed:10807793, ECO:0000269|PubMed:11468188, ECO:0000269|PubMed:16037825, ECO:0000269|PubMed:16785446, ECO:0000269|PubMed:17431422, ECO:0000269|PubMed:17964261, ECO:0000269|PubMed:18577712, ECO:0000269|PubMed:19109554, ECO:0000269|PubMed:19584923, ECO:0000269|PubMed:26347139}.; </t>
  </si>
  <si>
    <t xml:space="preserve">DISEASE: Familial Mediterranean fever, autosomal recessive (ARFMF) [MIM:249100]: A hereditary periodic fever syndrome characterized by recurrent episodic fever, serosal inflammation and pain in the abdomen, chest or joints. It is frequently complicated by reactive amyloidosis, which leads to renal failure and can be prophylactically treated with colchicine. {ECO:0000269|PubMed:10024914, ECO:0000269|PubMed:10090880, ECO:0000269|PubMed:10234504, ECO:0000269|PubMed:10364520, ECO:0000269|PubMed:10612841, ECO:0000269|PubMed:10842288, ECO:0000269|PubMed:10854105, ECO:0000269|PubMed:11470495, ECO:0000269|PubMed:15024744, ECO:0000269|PubMed:16378925, ECO:0000269|PubMed:16730661, ECO:0000269|PubMed:23031807, ECO:0000269|PubMed:24929125, ECO:0000269|PubMed:26347139, ECO:0000269|PubMed:9288094, ECO:0000269|PubMed:9288758, ECO:0000269|PubMed:9668175}. Note=The disease is caused by mutations affecting the gene represented in this entry. The disease-associated mutations in the B30.2/SPRY domain perturb ULK1 recruitment and autophagic degradation of inflammasome components, including NLRP3, and hence may contribute to the inflammatory phenotype associated with ARFMF. {ECO:0000269|PubMed:26347139}.; DISEASE: Familial Mediterranean fever, autosomal dominant (ADFMF) [MIM:134610]: A hereditary periodic fever syndrome characterized by periodic fever, serosal inflammation and pain in the abdomen, chest or joints as seen also in the autosomal recessive form of the disease. It is associated with reactive renal amyloidosis and characterized by colchicine unresponsiveness. {ECO:0000269|PubMed:10787449, ECO:0000269|PubMed:14679589}. Note=The disease is caused by mutations affecting the gene represented in this entry.; </t>
  </si>
  <si>
    <t xml:space="preserve">5,3</t>
  </si>
  <si>
    <t xml:space="preserve">SMG1:NM_015092:exon31:c.G4670A:p.G1557D;SMG1:uc010bwa.3:exon7:c.G863A:p.G288D,SMG1:uc010bwb.3:exon29:c.G4250A:p.G1417D,SMG1:uc002dfm.3:exon31:c.G4670A:p.G1557D;SMG1:ENST00000446231.7_1:exon31:c.G4670A:p.G1557D</t>
  </si>
  <si>
    <t xml:space="preserve">0.999999999999956</t>
  </si>
  <si>
    <t xml:space="preserve">SMG1 phosphatidylinositol 3-kinase-related kinase</t>
  </si>
  <si>
    <t xml:space="preserve">FUNCTION: Serine/threonine protein kinase involved in both mRNA surveillance and genotoxic stress response pathways. Recognizes the substrate consensus sequence [ST]-Q. Plays a central role in nonsense-mediated decay (NMD) of mRNAs containing premature stop codons by phosphorylating UPF1/RENT1. Recruited by release factors to stalled ribosomes together with SMG8 and SMG9 (forming the SMG1C protein kinase complex), and UPF1 to form the transient SURF (SMG1-UPF1-eRF1-eRF3) complex. In EJC-dependent NMD, the SURF complex associates with the exon junction complex (EJC) through UPF2 and allows the formation of an UPF1-UPF2-UPF3 surveillance complex which is believed to activate NMD. Also acts as a genotoxic stress-activated protein kinase that displays some functional overlap with ATM. Can phosphorylate p53/TP53 and is required for optimal p53/TP53 activation after cellular exposure to genotoxic stress. Its depletion leads to spontaneous DNA damage and increased sensitivity to ionizing radiation (IR). May activate PRKCI but not PRKCZ. {ECO:0000269|PubMed:11331269, ECO:0000269|PubMed:11544179, ECO:0000269|PubMed:15175154, ECO:0000269|PubMed:16452507}.; </t>
  </si>
  <si>
    <t xml:space="preserve">740.06</t>
  </si>
  <si>
    <t xml:space="preserve">0,20</t>
  </si>
  <si>
    <t xml:space="preserve">VPS35L:NM_001300743:exon24:c.C1979T:p.P660L,VPS35L:NM_001365294:exon25:c.C2057T:p.P686L,VPS35L:NM_001365293:exon26:c.C2180T:p.P727L,VPS35L:NM_020314:exon27:c.C2258T:p.P753L,VPS35L:NM_001365295:exon28:c.C1370T:p.P457L;C16orf62:uc002dgp.2:exon21:c.C1505T:p.P502L,C16orf62:uc002dgo.2:exon24:c.C2246T:p.P749L,C16orf62:uc002dgn.3:exon27:c.C2525T:p.P842L;VPS35L:ENST00000543152.5_3:exon21:c.C1505T:p.P502L,VPS35L:ENST00000542263.5_3:exon24:c.C2246T:p.P749L,VPS35L:ENST00000251143.9_5:exon27:c.C2525T:p.P842L,VPS35L:ENST00000417362.7_8:exon27:c.C2258T:p.P753L,VPS35L:ENST00000438132.7_5:exon27:c.C2525T:p.P842L</t>
  </si>
  <si>
    <t xml:space="preserve">HOMO</t>
  </si>
  <si>
    <t xml:space="preserve">1.28585119520756e-05</t>
  </si>
  <si>
    <t xml:space="preserve">chromosome 16 open reading frame 62</t>
  </si>
  <si>
    <t xml:space="preserve">FUNCTION: Involved in copper-dependent ATP7A trafficking between the trans-Golgi network and vesicles in the cell periphery; the function is proposed to depend on its association within the CCC complex and cooperation with the WASH complex on early endosomes. Seems not to be required for CCC complex stability (PubMed:25355947). {ECO:0000269|PubMed:25355947}.; </t>
  </si>
  <si>
    <t xml:space="preserve">1109.64</t>
  </si>
  <si>
    <t xml:space="preserve">23,36</t>
  </si>
  <si>
    <t xml:space="preserve">ARHGAP17:NM_001006634:exon16:c.A1462G:p.M488V,ARHGAP17:NM_018054:exon16:c.A1462G:p.M488V;ARHGAP17:uc002dna.3:exon7:c.A643G:p.M215V,ARHGAP17:uc010vcf.2:exon14:c.A925G:p.M309V,ARHGAP17:uc002dnb.3:exon16:c.A1462G:p.M488V,ARHGAP17:uc002dnc.3:exon16:c.A1462G:p.M488V;ARHGAP17:ENST00000289968.11_9:exon16:c.A1462G:p.M488V,ARHGAP17:ENST00000303665.9_5:exon16:c.A1462G:p.M488V</t>
  </si>
  <si>
    <t xml:space="preserve">0.990465510536605</t>
  </si>
  <si>
    <t xml:space="preserve">Rho GTPase activating protein 17</t>
  </si>
  <si>
    <t xml:space="preserve">FUNCTION: Rho GTPase-activating protein involved in the maintenance of tight junction by regulating the activity of CDC42, thereby playing a central role in apical polarity of epithelial cells. Specifically acts as a GTPase activator for the CDC42 GTPase by converting it to an inactive GDP-bound state. The complex formed with AMOT acts by regulating the uptake of polarity proteins at tight junctions, possibly by deciding whether tight junction transmembrane proteins are recycled back to the plasma membrane or sent elsewhere. Participates in the Ca(2+)-dependent regulation of exocytosis, possibly by catalyzing GTPase activity of Rho family proteins and by inducing the reorganization of the cortical actin filaments. Acts as a GTPase activator in vitro for RAC1. {ECO:0000269|PubMed:11431473, ECO:0000269|PubMed:16678097}.; </t>
  </si>
  <si>
    <t xml:space="preserve">940.64</t>
  </si>
  <si>
    <t xml:space="preserve">37,33</t>
  </si>
  <si>
    <t xml:space="preserve">TUFM:NM_001365360:exon8:c.G935A:p.G312D,TUFM:NM_003321:exon8:c.G1019A:p.G340D;TUFM:uc002drh.2:exon8:c.G1019A:p.G340D;TUFM:ENST00000313511.8_5:exon8:c.G1019A:p.G340D</t>
  </si>
  <si>
    <t xml:space="preserve">0.651456012209132</t>
  </si>
  <si>
    <t xml:space="preserve">Tu translation elongation factor, mitochondrial</t>
  </si>
  <si>
    <t xml:space="preserve">FUNCTION: This protein promotes the GTP-dependent binding of aminoacyl-tRNA to the A-site of ribosomes during protein biosynthesis.; </t>
  </si>
  <si>
    <t xml:space="preserve">DISEASE: Combined oxidative phosphorylation deficiency 4 (COXPD4) [MIM:610678]: A mitochondrial disease resulting in neonatal lactic acidosis, rapidly progressive encephalopathy, severely decreased mitochondrial protein synthesis, and combined deficiency of mtDNA- related mitochondrial respiratory chain complexes. {ECO:0000269|PubMed:17160893}. Note=The disease is caused by mutations affecting the gene represented in this entry.; </t>
  </si>
  <si>
    <t xml:space="preserve">476.64</t>
  </si>
  <si>
    <t xml:space="preserve">32,18</t>
  </si>
  <si>
    <t xml:space="preserve">IRX5:NM_001252197:exon3:c.A1262G:p.H421R,IRX5:NM_005853:exon3:c.A1265G:p.H422R;IRX5:uc002ehw.3:exon2:c.A1067G:p.H356R,IRX5:uc002ehv.3:exon3:c.A1265G:p.H422R,IRX5:uc021tin.1:exon3:c.A1262G:p.H421R;IRX5:ENST00000320990.9_3:exon3:c.A1262G:p.H421R,IRX5:ENST00000394636.9_8:exon3:c.A1265G:p.H422R,IRX5:ENST00000560154.5_1:exon3:c.A605G:p.H202R</t>
  </si>
  <si>
    <t xml:space="preserve">iroquois homeobox 5</t>
  </si>
  <si>
    <t xml:space="preserve">FUNCTION: Establishes the cardiac repolarization gradient by its repressive actions on the KCND2 potassium-channel gene. Required for retinal cone bipolar cell differentiation. May regulate contrast adaptation in the retina and control specific aspects of visual function in circuits of the mammalian retina (By similarity). Could be involved in the regulation of both the cell cycle and apoptosis in prostate cancer cells. Involved in craniofacial and gonadal development. Modulates the migration of progenitor cell populations in branchial arches and gonads by repressing CXCL12. {ECO:0000250, ECO:0000269|PubMed:22581230}.; </t>
  </si>
  <si>
    <t xml:space="preserve">DISEASE: Hamamy syndrome (HMMS) [MIM:611174]: A syndrome characterized by severe hypertelorism, upslanting palpebral fissures, brachycephaly, abnormal ears, sloping shoulders, enamel hypoplasia, and osteopenia with repeated fractures. Additional features include myopia, mild to moderate sensorineural hearing loss, gonadal anomalies and borderline intelligence. {ECO:0000269|PubMed:22581230}. Note=The disease is caused by mutations affecting the gene represented in this entry.; </t>
  </si>
  <si>
    <t xml:space="preserve">886.64</t>
  </si>
  <si>
    <t xml:space="preserve">16,27</t>
  </si>
  <si>
    <t xml:space="preserve">CARMIL2:NM_001013838:exon20:c.A1861G:p.M621V,CARMIL2:NM_001317026:exon21:c.A1753G:p.M585V;RLTPR:uc002etn.3:exon20:c.A1861G:p.M621V,RLTPR:uc010cel.1:exon20:c.A1840G:p.M614V,RLTPR:uc010vjr.2:exon21:c.A1753G:p.M585V;CARMIL2:ENST00000334583.11_7:exon20:c.A1861G:p.M621V,CARMIL2:ENST00000545661.5_5:exon21:c.A1753G:p.M585V,CARMIL2:ENST00000696175.1_1:exon21:c.A1768G:p.M590V,CARMIL2:ENST00000696176.1_1:exon21:c.A1768G:p.M590V</t>
  </si>
  <si>
    <t xml:space="preserve">0.0223533069911047</t>
  </si>
  <si>
    <t xml:space="preserve">RGD motif, leucine rich repeats, tropomodulin domain and proline-rich containing</t>
  </si>
  <si>
    <t xml:space="preserve">860.64</t>
  </si>
  <si>
    <t xml:space="preserve">62</t>
  </si>
  <si>
    <t xml:space="preserve">33,29</t>
  </si>
  <si>
    <t xml:space="preserve">ESRP2:NM_001365264:exon10:c.G1184A:p.R395H,ESRP2:NM_001365265:exon10:c.G1154A:p.R385H,ESRP2:NM_024939:exon10:c.G1154A:p.R385H;ESRP2:uc002evq.1:exon10:c.G1154A:p.R385H,ESRP2:uc010cfa.1:exon10:c.G1184A:p.R395H;ESRP2:ENST00000473183.7_7:exon10:c.G1154A:p.R385H,ESRP2:ENST00000565858.5_3:exon10:c.G1184A:p.R395H</t>
  </si>
  <si>
    <t xml:space="preserve">0.731424518577173</t>
  </si>
  <si>
    <t xml:space="preserve">epithelial splicing regulatory protein 2</t>
  </si>
  <si>
    <t xml:space="preserve">FUNCTION: mRNA splicing factor that regulates the formation of epithelial cell-specific isoforms. Specifically regulates the expression of FGFR2-IIIb, an epithelial cell-specific isoform of FGFR2. Also regulates the splicing of CD44, CTNND1, ENAH, 3 transcripts that undergo changes in splicing during the epithelial-to-mesenchymal transition (EMT). Acts by directly binding specific sequences in mRNAs. Binds the GU-rich sequence motifs in the ISE/ISS-3, a cis-element regulatory region present in the mRNA of FGFR2. {ECO:0000269|PubMed:19285943}.; </t>
  </si>
  <si>
    <t xml:space="preserve">185.64</t>
  </si>
  <si>
    <t xml:space="preserve">45</t>
  </si>
  <si>
    <t xml:space="preserve">35,10</t>
  </si>
  <si>
    <t xml:space="preserve">HYDIN:NM_001270974:exon71:c.G12124A:p.A4042T;HYDIN:uc031qwy.1:exon71:c.G12124A:p.A4042T;HYDIN:ENST00000393567.7_8:exon71:c.G12124A:p.A4042T</t>
  </si>
  <si>
    <t xml:space="preserve">4</t>
  </si>
  <si>
    <t xml:space="preserve">HYDIN, axonemal central pair apparatus protein</t>
  </si>
  <si>
    <t xml:space="preserve">FUNCTION: Required for ciliary motility. {ECO:0000250}.; </t>
  </si>
  <si>
    <t xml:space="preserve">DISEASE: Ciliary dyskinesia, primary, 5 (CILD5) [MIM:608647]: An autosomal recessive form of primary dyskinesia,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CILD5 is characterized by early onset of a progressive decline in lung function due to an inability to clear mucus and particles from the airways. Affected individuals have recurrent infections of the sinuses, ears, airways, and lungs. Sperm motility is also decreased. Individuals with CILD5 do not have situs inversus. {ECO:0000269|PubMed:23022101, ECO:0000269|PubMed:25186273}. Note=The disease is caused by mutations affecting the gene represented in this entry.; </t>
  </si>
  <si>
    <t xml:space="preserve">1070.64</t>
  </si>
  <si>
    <t xml:space="preserve">24,40</t>
  </si>
  <si>
    <t xml:space="preserve">HYDIN:NM_001270974:exon71:c.A12013G:p.T4005A;HYDIN:uc031qwy.1:exon71:c.A12013G:p.T4005A;HYDIN:ENST00000393567.7_8:exon71:c.A12013G:p.T4005A</t>
  </si>
  <si>
    <t xml:space="preserve">631.64</t>
  </si>
  <si>
    <t xml:space="preserve">111</t>
  </si>
  <si>
    <t xml:space="preserve">83,28</t>
  </si>
  <si>
    <t xml:space="preserve">HYDIN:NM_001270974:exon34:c.G5152A:p.V1718M;HYDIN:uc031qwy.1:exon34:c.G5152A:p.V1718M;HYDIN:ENST00000393567.7_8:exon34:c.G5152A:p.V1718M</t>
  </si>
  <si>
    <t xml:space="preserve">382.64</t>
  </si>
  <si>
    <t xml:space="preserve">15,13</t>
  </si>
  <si>
    <t xml:space="preserve">RFWD3:NM_001370539:exon6:c.C248T:p.S83F,RFWD3:NM_001370534:exon7:c.C1082T:p.S361F,RFWD3:NM_001370536:exon7:c.C1082T:p.S361F,RFWD3:NM_001370543:exon7:c.C248T:p.S83F,RFWD3:NM_018124:exon7:c.C1082T:p.S361F,RFWD3:NM_001370535:exon8:c.C1082T:p.S361F,RFWD3:NM_001370537:exon8:c.C248T:p.S83F,RFWD3:NM_001370540:exon8:c.C248T:p.S83F,RFWD3:NM_001370542:exon8:c.C248T:p.S83F;RFWD3:uc002fda.3:exon7:c.C1082T:p.S361F,RFWD3:uc010cgq.3:exon8:c.C1082T:p.S361F;RFWD3:ENST00000361070.9_5:exon7:c.C1082T:p.S361F,RFWD3:ENST00000571750.5_3:exon8:c.C1082T:p.S361F</t>
  </si>
  <si>
    <t xml:space="preserve">0.525273498714844</t>
  </si>
  <si>
    <t xml:space="preserve">ring finger and WD repeat domain 3</t>
  </si>
  <si>
    <t xml:space="preserve">FUNCTION: E3 ubiquitin-protein ligase that mediates the ubiquitination of p53/TP53 in the late response to DNA damage, and acts as a positive regulator of p53/TP53 stability, thereby regulating the G1/S DNA damage checkpoint. May act by catalyzing the formation of short polyubiquitin chains on p53/TP53 that are not targeted to the proteasome. In response to ionizing radiation, interacts with MDM2 and enhances p53/TP53 ubiquitination, possibly by restricting MDM2 from extending polyubiquitin chains on ubiquitinated p53/TP53. Plays a role in RPA-mediated DNA damage signaling and repair. {ECO:0000269|PubMed:20173098, ECO:0000269|PubMed:21504906, ECO:0000269|PubMed:21558276}.; </t>
  </si>
  <si>
    <t xml:space="preserve">695.64</t>
  </si>
  <si>
    <t xml:space="preserve">25,23</t>
  </si>
  <si>
    <t xml:space="preserve">BCAR1:NM_001170721:exon4:c.G1190A:p.R397Q,BCAR1:NM_001170715:exon5:c.G1874A:p.R625Q,BCAR1:NM_001170716:exon5:c.G1874A:p.R625Q,BCAR1:NM_001170717:exon5:c.G1874A:p.R625Q,BCAR1:NM_001170718:exon5:c.G1820A:p.R607Q,BCAR1:NM_001170719:exon5:c.G1814A:p.R605Q,BCAR1:NM_014567:exon5:c.G1820A:p.R607Q,BCAR1:NM_001170714:exon6:c.G1958A:p.R653Q,BCAR1:NM_001170720:exon6:c.G1376A:p.R459Q;BCAR1:uc002fdt.3:exon1:c.G179A:p.R60Q,BCAR1:uc002fdu.3:exon4:c.G1190A:p.R397Q,BCAR1:uc002fdv.3:exon5:c.G1820A:p.R607Q,BCAR1:uc002fdw.3:exon5:c.G1820A:p.R607Q,BCAR1:uc002fdx.3:exon5:c.G1874A:p.R625Q,BCAR1:uc010cgu.3:exon5:c.G1874A:p.R625Q,BCAR1:uc010vna.2:exon5:c.G1814A:p.R605Q,BCAR1:uc010vnd.2:exon5:c.G1874A:p.R625Q,BCAR1:uc010vnb.2:exon6:c.G1958A:p.R653Q,BCAR1:uc010vnc.2:exon6:c.G1376A:p.R459Q;BCAR1:ENST00000162330.10_8:exon5:c.G1820A:p.R607Q,BCAR1:ENST00000393420.10_6:exon5:c.G1874A:p.R625Q,BCAR1:ENST00000393422.6_6:exon5:c.G1874A:p.R625Q,BCAR1:ENST00000420641.7_6:exon5:c.G1874A:p.R625Q,BCAR1:ENST00000538440.6_4:exon5:c.G1820A:p.R607Q,BCAR1:ENST00000542031.6_6:exon5:c.G1814A:p.R605Q,BCAR1:ENST00000418647.7_6:exon6:c.G1958A:p.R653Q,BCAR1:ENST00000535626.6_5:exon6:c.G1376A:p.R459Q</t>
  </si>
  <si>
    <t xml:space="preserve">0.992956578294104</t>
  </si>
  <si>
    <t xml:space="preserve">breast cancer anti-estrogen resistance 1</t>
  </si>
  <si>
    <t xml:space="preserve">FUNCTION: Docking protein which plays a central coordinating role for tyrosine kinase-based signaling related to cell adhesion. Implicated in induction of cell migration. Overexpression confers antiestrogen resistance on breast cancer cells. {ECO:0000269|PubMed:12832404, ECO:0000269|PubMed:17038317}.; </t>
  </si>
  <si>
    <t xml:space="preserve">1144.64</t>
  </si>
  <si>
    <t xml:space="preserve">38,39</t>
  </si>
  <si>
    <t xml:space="preserve">WWOX:NM_001291997:exon7:c.C679G:p.L227V,WWOX:NM_016373:exon8:c.C1018G:p.L340V;WWOX:uc010vnk.2:exon7:c.C679G:p.L227V,WWOX:uc002ffk.3:exon8:c.C1018G:p.L340V;WWOX:ENST00000620008.1_1:exon2:c.C412G:p.L138V,WWOX:ENST00000408984.7_1:exon8:c.C1018G:p.L340V,WWOX:ENST00000566780.6_3:exon8:c.C1018G:p.L340V,WWOX:ENST00000627394.3_2:exon8:c.C1018G:p.L340V</t>
  </si>
  <si>
    <t xml:space="preserve">1.93855273615458e-08</t>
  </si>
  <si>
    <t xml:space="preserve">WW domain containing oxidoreductase</t>
  </si>
  <si>
    <t xml:space="preserve">FUNCTION: Putative oxidoreductase. Acts as a tumor suppressor and plays a role in apoptosis. Required for normal bone development (By similarity). May function synergistically with p53/TP53 to control genotoxic stress-induced cell death. Plays a role in TGFB1 signaling and TGFB1-mediated cell death. May also play a role in tumor necrosis factor (TNF)-mediated cell death. Inhibits Wnt signaling, probably by sequestering DVL2 in the cytoplasm. {ECO:0000250, ECO:0000269|PubMed:11719429, ECO:0000269|PubMed:15070730, ECO:0000269|PubMed:15548692, ECO:0000269|PubMed:16061658, ECO:0000269|PubMed:16219768, ECO:0000269|PubMed:19366691, ECO:0000269|PubMed:19465938}.; </t>
  </si>
  <si>
    <t xml:space="preserve">DISEASE: Note=Defects in WWOX may be involved in several cancer types. The gene spans the second most common chromosomal fragile site (FRA16D) which is frequently altered in cancers (PubMed:10861292). Alteration of the expression and expression of some isoforms is associated with cancers. However, it is still unclear if alteration of WWOX is directly implicated in cancerogenesis or if it corresponds to a secondary effect (PubMed:10861292, PubMed:11572989, PubMed:15266310, PubMed:15073125, PubMed:15131042). {ECO:0000269|PubMed:10861292, ECO:0000269|PubMed:11572989, ECO:0000269|PubMed:15073125, ECO:0000269|PubMed:15131042, ECO:0000269|PubMed:15266310}.; DISEASE: Esophageal cancer (ESCR) [MIM:133239]: A malignancy of the esophagus. The most common types are esophageal squamous cell carcinoma and adenocarcinoma. Cancer of the esophagus remains a devastating disease because it is usually not detected until it has progressed to an advanced incurable stage. {ECO:0000269|PubMed:11956080}. Note=The disease may be caused by mutations affecting the gene represented in this entry.; DISEASE: Spinocerebellar ataxia, autosomal recessive, 12 (SCAR12) [MIM:614322]: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SCAR12 is additionally characterized by onset of generalized seizures in infancy, and delayed psychomotor development with mental retardation. Some patients may also show spasticity. {ECO:0000269|PubMed:24369382, ECO:0000269|PubMed:24456803}. Note=The disease is caused by mutations affecting the gene represented in this entry.; DISEASE: Epileptic encephalopathy, early infantile, 28 (EIEE28) [MIM:616211]: A form of epileptic encephalopathy, a heterogeneous group of severe childhood onset epilepsies characterized by refractory seizures, neurodevelopmental impairment, and poor prognosis. Development is normal prior to seizure onset, after which cognitive and motor delays become apparent. {ECO:0000269|PubMed:25411445}. Note=The disease is caused by mutations affecting the gene represented in this entry.; </t>
  </si>
  <si>
    <t xml:space="preserve">73.64</t>
  </si>
  <si>
    <t xml:space="preserve">7,3</t>
  </si>
  <si>
    <t xml:space="preserve">intronic;ncRNA_exonic</t>
  </si>
  <si>
    <t xml:space="preserve">1/1</t>
  </si>
  <si>
    <t xml:space="preserve">2;2</t>
  </si>
  <si>
    <t xml:space="preserve">0.454440081718265</t>
  </si>
  <si>
    <t xml:space="preserve">core-binding factor, runt domain, alpha subunit 2; translocated to, 3</t>
  </si>
  <si>
    <t xml:space="preserve">FUNCTION: Transcriptional corepressor which facilitates transcriptional repression via its association with DNA-binding transcription factors and recruitment of other corepressors and histone-modifying enzymes (PubMed:12559562, PubMed:15203199). Can repress the expression of MMP7 in a ZBTB33-dependent manner (PubMed:23251453). Reduces the protein levels and stability of the transcriptinal regulator HIF1A; interacts with EGLN1 and promotes the HIF1A prolyl hydroxylation-dependent ubiquitination and proteasomal degradation pathway (PubMed:25974097). Contributes to inhibition of glycolysis and stimulation of mitochondrial respiration by down-regulating the expression of glycolytic genes including PFKFB3, PFKFB4, PDK1, PFKP, LDHA and HK1 which are direct targets of HIF1A (PubMed:23840896, PubMed:25974097). Regulates the proliferation and the differentiation of erythroid progenitors by repressing the expression of TAL1 target genes (By similarity). Plays a role in granulocyte differentiation (PubMed:15231665). {ECO:0000250|UniProtKB:O54972, ECO:0000269|PubMed:12183414, ECO:0000269|PubMed:15231665, ECO:0000269|PubMed:16966434, ECO:0000269|PubMed:23251453, ECO:0000269|PubMed:23840896, ECO:0000269|PubMed:25974097, ECO:0000303|PubMed:12559562, ECO:0000303|PubMed:15203199}.; </t>
  </si>
  <si>
    <t xml:space="preserve">DISEASE: Note=A chromosomal aberration involving CBFA2T3 is found in therapy-related myeloid malignancies. Translocation t(16;21)(q24;q22) that forms a RUNX1-CBFA2T3 fusion protein. {ECO:0000269|PubMed:10995019, ECO:0000269|PubMed:11224496, ECO:0000269|PubMed:9596646}.; </t>
  </si>
  <si>
    <t xml:space="preserve">37.64</t>
  </si>
  <si>
    <t xml:space="preserve">MYO15A:NM_016239:exon2:c.T1961A:p.L654H;MYO15A:uc021trm.1:exon1:c.T1961A:p.L654H,MYO15A:uc021trl.1:exon2:c.T1961A:p.L654H;MYO15A:ENST00000647165.2_6:exon2:c.T1961A:p.L654H</t>
  </si>
  <si>
    <t xml:space="preserve">myosin XVA</t>
  </si>
  <si>
    <t xml:space="preserve">FUNCTION: Myosins are actin-based motor molecules with ATPase activity. Unconventional myosins serve in intracellular movements. Their highly divergent tails are presumed to bind to membranous compartments, which would be moved relative to actin filaments. Required for the arrangement of stereocilia in mature hair bundles (By similarity). {ECO:0000250}.; </t>
  </si>
  <si>
    <t xml:space="preserve">1218.64</t>
  </si>
  <si>
    <t xml:space="preserve">40,38</t>
  </si>
  <si>
    <t xml:space="preserve">LRRC37B:NM_052888:exon1:c.A173C:p.E58A;LRRC37B:uc002hgu.3:exon1:c.A173C:p.E58A,LRRC37B:uc010csu.3:exon1:c.A173C:p.E58A;LRRC37B:ENST00000341671.12_7:exon1:c.A173C:p.E58A,LRRC37B:ENST00000584368.5_2:exon1:c.A173C:p.E58A</t>
  </si>
  <si>
    <t xml:space="preserve">0.948665375189349</t>
  </si>
  <si>
    <t xml:space="preserve">leucine rich repeat containing 37B</t>
  </si>
  <si>
    <t xml:space="preserve">933.64</t>
  </si>
  <si>
    <t xml:space="preserve">66</t>
  </si>
  <si>
    <t xml:space="preserve">35,31</t>
  </si>
  <si>
    <t xml:space="preserve">UNC45B:NM_001308281:exon3:c.G298A:p.V100M,UNC45B:NM_173167:exon3:c.G298A:p.V100M,UNC45B:NM_001033576:exon4:c.G298A:p.V100M,UNC45B:NM_001267052:exon4:c.G298A:p.V100M;UNC45B:uc010cto.3:exon3:c.G298A:p.V100M,UNC45B:uc002hja.3:exon4:c.G298A:p.V100M,UNC45B:uc002hjb.3:exon4:c.G298A:p.V100M,UNC45B:uc002hjc.3:exon4:c.G298A:p.V100M;UNC45B:ENST00000591048.2_1:exon3:c.G298A:p.V100M,UNC45B:ENST00000268876.9_4:exon4:c.G298A:p.V100M,UNC45B:ENST00000394570.7_7:exon4:c.G298A:p.V100M</t>
  </si>
  <si>
    <t xml:space="preserve">2.76564282824349e-08</t>
  </si>
  <si>
    <t xml:space="preserve">unc-45 myosin chaperone B</t>
  </si>
  <si>
    <t xml:space="preserve">FUNCTION: Acts as a co-chaperone for HSP90 and is required for proper folding of the myosin motor domain. Plays a role in sarcomere formation during muscle cell development. Is necessary for normal early lens development. {ECO:0000250|UniProtKB:Q6DGE9, ECO:0000250|UniProtKB:Q8CGY6}.; </t>
  </si>
  <si>
    <t xml:space="preserve">DISEASE: Cataract 43 (CTRCT43) [MIM:616279]: An opacification of the crystalline lens of the eye that frequently results in visual impairment or blindness. Opacities vary in morphology, are often confined to a portion of the lens, and may be static or progressive. In general, the more posteriorly located and dense an opacity, the greater the impact on visual function. {ECO:0000269|PubMed:24549050}. Note=The disease is caused by mutations affecting the gene represented in this entry.; </t>
  </si>
  <si>
    <t xml:space="preserve">1078.64</t>
  </si>
  <si>
    <t xml:space="preserve">41,36</t>
  </si>
  <si>
    <t xml:space="preserve">CASC3:NM_007359:exon11:c.C1849T:p.L617F;CASC3:uc002hue.3:exon11:c.C1849T:p.L617F,CASC3:uc010cwt.1:exon11:c.C1849T:p.L617F;CASC3:ENST00000264645.12_3:exon11:c.C1849T:p.L617F</t>
  </si>
  <si>
    <t xml:space="preserve">0.913674728687448</t>
  </si>
  <si>
    <t xml:space="preserve">cancer susceptibility candidate 3</t>
  </si>
  <si>
    <t xml:space="preserve">FUNCTION: Core component of the splicing-dependent multiprotein exon junction complex (EJC) deposited at splice junctions on mRNAs. The EJC is a dynamic structure consisting of core proteins and several peripheral nuclear and cytoplasmic associated factors that join the complex only transiently either during EJC assembly or during subsequent mRNA metabolism. The EJC marks the position of the exon-exon junction in the mature mRNA for the gene expression machinery and the core components remain bound to spliced mRNAs throughout all stages of mRNA metabolism thereby influencing downstream processes including nuclear mRNA export, subcellular mRNA localization, translation efficiency and nonsense-mediated mRNA decay (NMD). Stimulates the ATPase and RNA- helicase activities of EIF4A3. Plays a role in the stress response by participating in cytoplasmic stress granules assembly and by favoring cell recovery following stress. Component of the dendritic ribonucleoprotein particles (RNPs) in hippocampal neurons. May play a role in mRNA transport. Binds spliced mRNA in sequence-independent manner, 20-24 nucleotides upstream of mRNA exon-exon junctions. Binds poly(G) and poly(U) RNA homopolymer. {ECO:0000269|PubMed:17375189, ECO:0000269|PubMed:17652158}.; </t>
  </si>
  <si>
    <t xml:space="preserve">64.64</t>
  </si>
  <si>
    <t xml:space="preserve">18</t>
  </si>
  <si>
    <t xml:space="preserve">15,3</t>
  </si>
  <si>
    <t xml:space="preserve">HLF:NM_002126:exon1:c.G109A:p.E37K;HLF:uc002iug.1:exon1:c.G109A:p.E37K;HLF:ENST00000226067.10_3:exon1:c.G109A:p.E37K</t>
  </si>
  <si>
    <t xml:space="preserve">0.87786179819329</t>
  </si>
  <si>
    <t xml:space="preserve">hepatic leukemia factor</t>
  </si>
  <si>
    <t xml:space="preserve">DISEASE: Note=A chromosomal aberration involving HLF is a cause of pre-B-cell acute lymphoblastic leukemia (B-ALL). Translocation t(17;19)(q22;p13.3) with TCF3.; </t>
  </si>
  <si>
    <t xml:space="preserve">223.64</t>
  </si>
  <si>
    <t xml:space="preserve">5,7</t>
  </si>
  <si>
    <t xml:space="preserve">USP32:NM_032582:exon13:c.G1432A:p.G478S;USP32:uc002iyn.1:exon5:c.G442A:p.G148S,USP32:uc002iyo.1:exon13:c.G1432A:p.G478S;USP32:ENST00000592339.5_3:exon5:c.G442A:p.G148S,USP32:ENST00000300896.9_5:exon13:c.G1432A:p.G478S</t>
  </si>
  <si>
    <t xml:space="preserve">2/11</t>
  </si>
  <si>
    <t xml:space="preserve">0.999999997115398</t>
  </si>
  <si>
    <t xml:space="preserve">ubiquitin specific peptidase 32</t>
  </si>
  <si>
    <t xml:space="preserve">991.64</t>
  </si>
  <si>
    <t xml:space="preserve">61,42</t>
  </si>
  <si>
    <t xml:space="preserve">exonic;intergenic</t>
  </si>
  <si>
    <t xml:space="preserve">TEN1:NM_001113324:exon3:c.G136T:p.A46S;dist=12075;dist=9397;TEN1:ENST00000397640.6_3:exon3:c.G136T:p.A46S,TEN1:ENST00000588202.5_1:exon3:c.G136T:p.A46S,TEN1-CDK3:ENST00000649294.1_3:exon3:c.G136T:p.A46S</t>
  </si>
  <si>
    <t xml:space="preserve">TEN1 CST complex subunit</t>
  </si>
  <si>
    <t xml:space="preserve">FUNCTION: Component of the CST complex proposed to act as a specialized replication factor promoting DNA replication under conditions of replication stress or natural replication barriers such as the telomere duplex. The CST complex binds single-stranded DNA with high affinity in a sequence-independent manner, while isolated subunits bind DNA with low affinity by themselves. Initially the CST complex has been proposed to protect telomeres from DNA degradation (PubMed:19854130). However, the CST complex has been shown to be involved in several aspects of telomere replication. The CST complex inhibits telomerase and is involved in telomere length homeostasis; it is proposed to bind to newly telomerase-synthesized 3' overhangs and to terminate telomerase action implicating the association with the ACD:POT1 complex thus interfering with its telomerase stimulation activity. The CST complex is also proposed to be involved in fill-in synthesis of the telomeric C-strand probably implicating recruitment and activation of DNA polymerase alpha (PubMed:22763445). The CST complex facilitates recovery from many forms of exogenous DNA damage; seems to be involved in the re-initiation of DNA replication at repaired forks and/or dormant origins (PubMed:25483097). {ECO:0000269|PubMed:19854130, ECO:0000269|PubMed:22763445, ECO:0000269|PubMed:25483097}.; </t>
  </si>
  <si>
    <t xml:space="preserve">438.64</t>
  </si>
  <si>
    <t xml:space="preserve">19,13</t>
  </si>
  <si>
    <t xml:space="preserve">AATK:NM_004920:exon10:c.G1327C:p.D443H,AATK:NM_001080395:exon11:c.G1636C:p.D546H;AATK:uc021ueu.1:exon10:c.G1327C:p.D443H,AATK:uc010dia.3:exon11:c.G1636C:p.D546H;AATK:ENST00000417379.6_7:exon10:c.G1327C:p.D443H,AATK:ENST00000326724.9_10:exon11:c.G1636C:p.D546H</t>
  </si>
  <si>
    <t xml:space="preserve">0.806763652251614</t>
  </si>
  <si>
    <t xml:space="preserve">apoptosis-associated tyrosine kinase</t>
  </si>
  <si>
    <t xml:space="preserve">FUNCTION: May be involved in neuronal differentiation. {ECO:0000269|PubMed:10837911}.; </t>
  </si>
  <si>
    <t xml:space="preserve">733.64</t>
  </si>
  <si>
    <t xml:space="preserve">47,27</t>
  </si>
  <si>
    <t xml:space="preserve">nonsynonymous SNV;unknown</t>
  </si>
  <si>
    <t xml:space="preserve">UNKNOWN;BAHCC1:uc002kaf.2:exon3:c.C274T:p.R92C;BAHCC1:ENST00000584436.7_5:exon3:c.C280T:p.R94C,BAHCC1:ENST00000675386.2_4:exon3:c.C280T:p.R94C</t>
  </si>
  <si>
    <t xml:space="preserve">BAH domain and coiled-coil containing 1</t>
  </si>
  <si>
    <t xml:space="preserve">chr18</t>
  </si>
  <si>
    <t xml:space="preserve">321.64</t>
  </si>
  <si>
    <t xml:space="preserve">33</t>
  </si>
  <si>
    <t xml:space="preserve">21,12</t>
  </si>
  <si>
    <t xml:space="preserve">LAMA1:NM_005559:exon11:c.G1423A:p.E475K;LAMA1:uc002knm.3:exon11:c.G1423A:p.E475K;LAMA1:ENST00000389658.4_5:exon11:c.G1423A:p.E475K</t>
  </si>
  <si>
    <t xml:space="preserve">1.39176131837658e-24</t>
  </si>
  <si>
    <t xml:space="preserve">laminin subunit alpha 1</t>
  </si>
  <si>
    <t xml:space="preserve">FUNCTION: Binding to cells via a high affinity receptor, laminin is thought to mediate the attachment, migration and organization of cells into tissues during embryonic development by interacting with other extracellular matrix components.; </t>
  </si>
  <si>
    <t xml:space="preserve">DISEASE: Poretti-Boltshauser syndrome (PTBHS) [MIM:615960]: An autosomal recessive disorder characterized by cerebellar dysplasia, cerebellar vermis atrophy, cerebellar cysts in most patients, high myopia, variable retinal dystrophy, and eye movement abnormalities including strabismus, ocular apraxia, nystagmus. Affected individuals have ataxia, delayed motor development, language impairment, and intellectual disability with variable severity. {ECO:0000269|PubMed:25105227}. Note=The disease is caused by mutations affecting the gene represented in this entry.; </t>
  </si>
  <si>
    <t xml:space="preserve">34,18</t>
  </si>
  <si>
    <t xml:space="preserve">INO80C:NM_001308064:exon5:c.G347A:p.R116Q,INO80C:NM_194281:exon5:c.G512A:p.R171Q,INO80C:NM_001098817:exon7:c.G620A:p.R207Q;INO80C:uc002kyy.4:exon5:c.G512A:p.R171Q,INO80C:uc002kyx.4:exon6:c.G347A:p.R116Q,INO80C:uc010dmt.3:exon7:c.G620A:p.R207Q;INO80C:ENST00000590757.1_3:exon2:c.G221A:p.R74Q,INO80C:ENST00000334598.12_6:exon5:c.G512A:p.R171Q,INO80C:ENST00000586489.5_3:exon5:c.G347A:p.R116Q,INO80C:ENST00000441607.6_5:exon7:c.G620A:p.R207Q</t>
  </si>
  <si>
    <t xml:space="preserve">6/9</t>
  </si>
  <si>
    <t xml:space="preserve">0.000502408928799958</t>
  </si>
  <si>
    <t xml:space="preserve">INO80 complex subunit C</t>
  </si>
  <si>
    <t xml:space="preserve">FUNCTION: Proposed core component of the chromatin remodeling INO80 complex which is involved in transcriptional regulation, DNA replication and probably DNA repair.; </t>
  </si>
  <si>
    <t xml:space="preserve">4,2</t>
  </si>
  <si>
    <t xml:space="preserve">C18orf54:NM_001370309:exon3:c.A707G:p.N236S,C18orf54:NM_001288980:exon4:c.A707G:p.N236S,C18orf54:NM_001288981:exon4:c.A707G:p.N236S;C18orf54:uc031rii.1:exon3:c.A707G:p.N236S,C18orf54:uc002lfo.5:exon4:c.A707G:p.N236S;C18orf54:ENST00000382911.8_6:exon3:c.A707G:p.N236S,C18orf54:ENST00000620105.5_7:exon4:c.A707G:p.N236S</t>
  </si>
  <si>
    <t xml:space="preserve">6.01291582416808e-06</t>
  </si>
  <si>
    <t xml:space="preserve">chromosome 18 open reading frame 54</t>
  </si>
  <si>
    <t xml:space="preserve">FUNCTION: Might play a role in cell proliferation. {ECO:0000250}.; </t>
  </si>
  <si>
    <t xml:space="preserve">850.64</t>
  </si>
  <si>
    <t xml:space="preserve">20,25</t>
  </si>
  <si>
    <t xml:space="preserve">MBP:NM_001025100:exon4:c.T592C:p.X198Q;MBP:uc002lmr.3:exon4:c.T592C:p.X198Q;MBP:ENST00000397860.7_4:exon4:c.T592C:p.X198Q,MBP:ENST00000397863.5_4:exon4:c.T592C:p.X198Q</t>
  </si>
  <si>
    <t xml:space="preserve">0.568470953651191</t>
  </si>
  <si>
    <t xml:space="preserve">myelin basic protein</t>
  </si>
  <si>
    <t xml:space="preserve">FUNCTION: The classic group of MBP isoforms (isoform 4-isoform 14) are with PLP the most abundant protein components of the myelin membrane in the CNS. They have a role in both its formation and stabilization. The smaller isoforms might have an important role in remyelination of denuded axons in multiple sclerosis. The non- classic group of MBP isoforms (isoform 1-isoform 3/Golli-MBPs) may preferentially have a role in the early developing brain long before myelination, maybe as components of transcriptional complexes, and may also be involved in signaling pathways in T- cells and neural cells. Differential splicing events combined with optional post-translational modifications give a wide spectrum of isomers, with each of them potentially having a specialized function. Induces T-cell proliferation. {ECO:0000269|PubMed:8544862}.; </t>
  </si>
  <si>
    <t xml:space="preserve">DISEASE: Note=The reduction in the surface charge of citrullinated and/or methylated MBP could result in a weakened attachment to the myelin membrane. This mechanism could be operative in demyelinating diseases such as chronical multiple sclerosis (MS), and fulminating MS (Marburg disease).; </t>
  </si>
  <si>
    <t xml:space="preserve">chr19</t>
  </si>
  <si>
    <t xml:space="preserve">845.64</t>
  </si>
  <si>
    <t xml:space="preserve">36,28</t>
  </si>
  <si>
    <t xml:space="preserve">nonsynonymous SNV;synonymous SNV</t>
  </si>
  <si>
    <t xml:space="preserve">TBXA2R:NM_001060:exon3:c.C912T:p.D304D,TBXA2R:NM_201636:exon3:c.C912T:p.D304D;TBXA2R:uc002lyg.2:exon3:c.C912T:p.D304D,TBXA2R:uc021umv.1:exon3:c.C912T:p.D304D;TBXA2R:ENST00000589966.1_3:exon2:c.C523T:p.P175S</t>
  </si>
  <si>
    <t xml:space="preserve">3/4</t>
  </si>
  <si>
    <t xml:space="preserve">0.113768130952393</t>
  </si>
  <si>
    <t xml:space="preserve">thromboxane A2 receptor</t>
  </si>
  <si>
    <t xml:space="preserve">FUNCTION: Receptor for thromboxane A2 (TXA2), a potent stimulator of platelet aggregation. The activity of this receptor is mediated by a G-protein that activates a phosphatidylinositol-calcium second messenger system. In the kidney, the binding of TXA2 to glomerular TP receptors causes intense vasoconstriction. Activates phospholipase C. Isoform 1 activates adenylyl cyclase. Isoform 2 inhibits adenylyl cyclase. {ECO:0000269|PubMed:8613548}.; </t>
  </si>
  <si>
    <t xml:space="preserve">DISEASE: Bleeding disorder, platelet-type 13 (BDPLT13) [MIM:614009]: A disorder characterized by reduced platelet aggregation and a tendency to mild mucocutaneous bleeding. {ECO:0000269|PubMed:7929844}. Note=Disease susceptibility is associated with variations affecting the gene represented in this entry.; </t>
  </si>
  <si>
    <t xml:space="preserve">572.64</t>
  </si>
  <si>
    <t xml:space="preserve">15,17</t>
  </si>
  <si>
    <t xml:space="preserve">DUS3L:NM_001161619:exon10:c.G1025A:p.R342Q,DUS3L:NM_020175:exon11:c.G1751A:p.R584Q;DUS3L:uc002mdd.3:exon10:c.G1025A:p.R342Q,DUS3L:uc002mdc.3:exon11:c.G1751A:p.R584Q;ENSG00000267157:ENST00000586012.1_6:exon1:c.G17A:p.R6Q,DUS3L:ENST00000320699.12_3:exon10:c.G1025A:p.R342Q,DUS3L:ENST00000309061.12_8:exon11:c.G1751A:p.R584Q</t>
  </si>
  <si>
    <t xml:space="preserve">2.44680259980273e-09</t>
  </si>
  <si>
    <t xml:space="preserve">dihydrouridine synthase 3 like</t>
  </si>
  <si>
    <t xml:space="preserve">FUNCTION: Catalyzes the synthesis of dihydrouridine, a modified base found in the D-loop of most tRNAs. {ECO:0000250}.; </t>
  </si>
  <si>
    <t xml:space="preserve">25,20</t>
  </si>
  <si>
    <t xml:space="preserve">VMAC:NM_001017921:exon2:c.C325T:p.R109C;VMAC:uc002mds.4:exon2:c.C325T:p.R109C;VMAC:ENST00000339485.4_3:exon2:c.C325T:p.R109C</t>
  </si>
  <si>
    <t xml:space="preserve">0.0234647088154216</t>
  </si>
  <si>
    <t xml:space="preserve">vimentin-type intermediate filament associated coiled-coil protein</t>
  </si>
  <si>
    <t xml:space="preserve">645.64</t>
  </si>
  <si>
    <t xml:space="preserve">351</t>
  </si>
  <si>
    <t xml:space="preserve">313,38</t>
  </si>
  <si>
    <t xml:space="preserve">MUC16:NM_024690:exon56:c.A40766G:p.D13589G;MUC16:uc010dwj.3:exon13:c.A1217G:p.D406G,MUC16:uc002mkp.3:exon56:c.A40766G:p.D13589G;MUC16:ENST00000397910.8_4:exon56:c.A40766G:p.D13589G</t>
  </si>
  <si>
    <t xml:space="preserve">mucin 16, cell surface associated</t>
  </si>
  <si>
    <t xml:space="preserve">FUNCTION: Thought to provide a protective, lubricating barrier against particles and infectious agents at mucosal surfaces. {ECO:0000250}.; </t>
  </si>
  <si>
    <t xml:space="preserve">1098.64</t>
  </si>
  <si>
    <t xml:space="preserve">59,40</t>
  </si>
  <si>
    <t xml:space="preserve">DHPS:NM_001206974:exon4:c.C388A:p.P130T,DHPS:NM_001369691:exon4:c.C514A:p.P172T,DHPS:NM_001369692:exon4:c.C514A:p.P172T,DHPS:NM_001930:exon4:c.C514A:p.P172T,DHPS:NM_013406:exon4:c.C514A:p.P172T;DHPS:uc002mug.2:exon4:c.C388A:p.P130T,DHPS:uc002muh.2:exon4:c.C514A:p.P172T,DHPS:uc002mui.2:exon4:c.C514A:p.P172T;DHPS:ENST00000210060.12_7:exon4:c.C514A:p.P172T,DHPS:ENST00000351660.9_3:exon4:c.C514A:p.P172T,DHPS:ENST00000594424.5_3:exon4:c.C388A:p.P130T</t>
  </si>
  <si>
    <t xml:space="preserve">0.0034521520485461</t>
  </si>
  <si>
    <t xml:space="preserve">deoxyhypusine synthase</t>
  </si>
  <si>
    <t xml:space="preserve">FUNCTION: Catalyzes the NAD-dependent oxidative cleavage of spermidine and the subsequent transfer of the butylamine moiety of spermidine to the epsilon-amino group of a specific lysine residue of the eIF-5A precursor protein to form the intermediate deoxyhypusine residue.; </t>
  </si>
  <si>
    <t xml:space="preserve">434.64</t>
  </si>
  <si>
    <t xml:space="preserve">8,13</t>
  </si>
  <si>
    <t xml:space="preserve">PTGER1:NM_000955:exon2:c.C248A:p.T83N;PTGER1:uc002mys.3:exon2:c.C248A:p.T83N;PTGER1:ENST00000292513.4_5:exon2:c.C248A:p.T83N</t>
  </si>
  <si>
    <t xml:space="preserve">0.255749329233531</t>
  </si>
  <si>
    <t xml:space="preserve">prostaglandin E receptor 1</t>
  </si>
  <si>
    <t xml:space="preserve">FUNCTION: Receptor for prostaglandin E2 (PGE2). The activity of this receptor is mediated by G(q) proteins which activate a phosphatidylinositol-calcium second messenger system. May play a role as an important modulator of renal function. Implicated the smooth muscle contractile response to PGE2 in various tissues.; </t>
  </si>
  <si>
    <t xml:space="preserve">786.64</t>
  </si>
  <si>
    <t xml:space="preserve">29,21</t>
  </si>
  <si>
    <t xml:space="preserve">ZNF585A:NM_001288800:exon5:c.G1912A:p.E638K,ZNF585A:NM_152655:exon6:c.G1747A:p.E583K,ZNF585A:NM_199126:exon6:c.G1747A:p.E583K;ZNF585A:uc002ofo.1:exon5:c.G1912A:p.E638K,ZNF585A:uc002ofm.1:exon6:c.G1747A:p.E583K,ZNF585A:uc002ofn.1:exon6:c.G1747A:p.E583K;ZNF585A:ENST00000292841.10_5:exon5:c.G1912A:p.E638K,ZNF585A:ENST00000356958.8_3:exon6:c.G1747A:p.E583K,ZNF585A:ENST00000392157.2_3:exon6:c.G1747A:p.E583K</t>
  </si>
  <si>
    <t xml:space="preserve">0.711326551856647</t>
  </si>
  <si>
    <t xml:space="preserve">zinc finger protein 585A</t>
  </si>
  <si>
    <t xml:space="preserve">FUNCTION: May be involved in transcriptional regulation.; </t>
  </si>
  <si>
    <t xml:space="preserve">SMG9:NM_019108:exon3:c.A196G:p.I66V;SMG9:uc002oxj.2:exon3:c.A196G:p.I66V,SMG9:uc002oxk.2:exon3:c.A196G:p.I66V,SMG9:uc010eiy.1:exon3:c.A196G:p.I66V;SMG9:ENST00000270066.11_5:exon3:c.A196G:p.I66V,SMG9:ENST00000601170.5_3:exon3:c.A196G:p.I66V</t>
  </si>
  <si>
    <t xml:space="preserve">4.84811349964517e-11</t>
  </si>
  <si>
    <t xml:space="preserve">SMG9 nonsense mediated mRNA decay factor</t>
  </si>
  <si>
    <t xml:space="preserve">FUNCTION: Involved in nonsense-mediated decay (NMD) of mRNAs containing premature stop codons. Is recruited by release factors to stalled ribosomes together with SMG1 and SMG8 (forming the SMG1C protein kinase complex) and, in the SMG1C complex, is required for the efficient association between SMG1 and SMG8. {ECO:0000269|PubMed:19417104}.; </t>
  </si>
  <si>
    <t xml:space="preserve">30,14</t>
  </si>
  <si>
    <t xml:space="preserve">KCNN4:NM_002250:exon2:c.C233T:p.A78V;KCNN4:uc002oxl.3:exon2:c.C233T:p.A78V;KCNN4:ENST00000648319.1_6:exon2:c.C233T:p.A78V</t>
  </si>
  <si>
    <t xml:space="preserve">8.36465970463448e-06</t>
  </si>
  <si>
    <t xml:space="preserve">potassium calcium-activated channel subfamily N member 4</t>
  </si>
  <si>
    <t xml:space="preserve">FUNCTION: Forms a voltage-independent potassium channel that is activated by intracellular calcium (PubMed:26148990). Activation is followed by membrane hyperpolarization which promotes calcium influx. Required for maximal calcium influx and proliferation during the reactivation of naive T-cells. The channel is blocked by clotrimazole and charybdotoxin but is insensitive to apamin (PubMed:17157250, PubMed:18796614). {ECO:0000269|PubMed:17157250, ECO:0000269|PubMed:18796614, ECO:0000269|PubMed:26148990}.; </t>
  </si>
  <si>
    <t xml:space="preserve">DISEASE: Dehydrated hereditary stomatocytosis with or without pseudohyperkalemia and/or perinatal edema (DHS) [MIM:194380]: An autosomal dominant hemolytic anemia characterized by primary erythrocyte dehydration. DHS erythrocytes exhibit decreased total cation and potassium content that are not accompanied by a proportional net gain of sodium and water. DHS patients typically exhibit mild to moderate compensated hemolytic anemia, with an increased erythrocyte mean corpuscular hemoglobin concentration and a decreased osmotic fragility, both of which reflect cellular dehydration. Patients may also show perinatal edema and pseudohyperkalemia due to loss of potassium from red cells stored at room temperature. A minor proportion of red cells appear as stomatocytes on blood films. Complications such as splenomegaly and cholelithiasis, resulting from increased red cell trapping in the spleen and elevated bilirubin levels, respectively, may occur. The course of DHS is frequently associated with iron overload, which may lead to hepatosiderosis. {ECO:0000269|PubMed:26148990, ECO:0000269|PubMed:26178367, ECO:0000269|PubMed:26198474}. Note=The disease is caused by mutations affecting the gene represented in this entry.; </t>
  </si>
  <si>
    <t xml:space="preserve">1198.64</t>
  </si>
  <si>
    <t xml:space="preserve">POLR1G:NM_001297590:exon3:c.C1498T:p.R500W,POLR1G:NM_012099:exon3:c.C1492T:p.R498W;CD3EAP:uc002pbq.1:exon3:c.C1492T:p.R498W,CD3EAP:uc002pbr.1:exon3:c.C1498T:p.R500W;POLR1G:ENST00000309424.8_7:exon3:c.C1492T:p.R498W,POLR1G:ENST00000589804.1_5:exon3:c.C1498T:p.R500W</t>
  </si>
  <si>
    <t xml:space="preserve">5.68877488151799e-05</t>
  </si>
  <si>
    <t xml:space="preserve">CD3e molecule associated protein</t>
  </si>
  <si>
    <t xml:space="preserve">FUNCTION: DNA-dependent RNA polymerase catalyzes the transcription of DNA into RNA using the four ribonucleoside triphosphates as substrates. Component of RNA polymerase I which synthesizes ribosomal RNA precursors. Isoform 1 is involved in UBTF-activated transcription, presumably at a step following PIC formation.; </t>
  </si>
  <si>
    <t xml:space="preserve">355.64</t>
  </si>
  <si>
    <t xml:space="preserve">SHANK1:NM_016148:exon23:c.G5729A:p.S1910N;SHANK1:uc002psw.1:exon8:c.G3881A:p.S1294N,SHANK1:uc002psx.1:exon22:c.G5729A:p.S1910N;SHANK1:ENST00000359082.3_8:exon21:c.G5702A:p.S1901N,SHANK1:ENST00000293441.6_6:exon23:c.G5729A:p.S1910N,SHANK1:ENST00000391814.5_6:exon24:c.G5753A:p.S1918N</t>
  </si>
  <si>
    <t xml:space="preserve">0.999999760947139</t>
  </si>
  <si>
    <t xml:space="preserve">SH3 and multiple ankyrin repeat domains 1</t>
  </si>
  <si>
    <t xml:space="preserve">FUNCTION: Seems to be an adapter protein in the postsynaptic density (PSD) of excitatory synapses that interconnects receptors of the postsynaptic membrane including NMDA-type and metabotropic glutamate receptors via complexes with GKAP/PSD-95 and Homer, respectively, and the actin-based cytoskeleton. Plays a role in the structural and functional organization of the dendritic spine and synaptic junction.; </t>
  </si>
  <si>
    <t xml:space="preserve">720.64</t>
  </si>
  <si>
    <t xml:space="preserve">34,26</t>
  </si>
  <si>
    <t xml:space="preserve">SYT5:NM_001297774:exon3:c.C494T:p.T165M,SYT5:NM_003180:exon5:c.C503T:p.T168M;SYT5:uc002qjp.2:exon3:c.C494T:p.T165M,SYT5:uc002qjm.1:exon4:c.C503T:p.T168M,SYT5:uc002qjn.1:exon5:c.C503T:p.T168M,SYT5:uc002qjo.1:exon5:c.C503T:p.T168M;SYT5:ENST00000590851.5_9:exon3:c.C494T:p.T165M,SYT5:ENST00000537500.5_9:exon4:c.C503T:p.T168M,SYT5:ENST00000354308.8_11:exon5:c.C503T:p.T168M</t>
  </si>
  <si>
    <t xml:space="preserve">0.00220633982463807</t>
  </si>
  <si>
    <t xml:space="preserve">synaptotagmin 5</t>
  </si>
  <si>
    <t xml:space="preserve">FUNCTION: May be involved in Ca(2+)-dependent exocytosis of secretory vesicles through Ca(2+) and phospholipid binding to the C2 domain or may serve as Ca(2+) sensors in the process of vesicular trafficking and exocytosis. Regulates the Ca(2+)- dependent secretion of norepinephrine in PC12 cells. Required for export from the endocytic recycling compartment to the cell surface (By similarity). {ECO:0000250}.; </t>
  </si>
  <si>
    <t xml:space="preserve">477.64</t>
  </si>
  <si>
    <t xml:space="preserve">10,13</t>
  </si>
  <si>
    <t xml:space="preserve">COX6B2:NM_001369798:exon3:c.C118T:p.H40Y,COX6B2:NM_001369799:exon3:c.C118T:p.H40Y,COX6B2:NM_001369800:exon3:c.C118T:p.H40Y,COX6B2:NM_144613:exon3:c.C118T:p.H40Y;COX6B2:uc002qkn.3:exon3:c.C118T:p.H40Y,COX6B2:uc002qkp.1:exon3:c.C118T:p.H40Y;COX6B2:ENST00000590900.5_4:exon2:c.C118T:p.H40Y,COX6B2:ENST00000326529.9_5:exon3:c.C118T:p.H40Y,COX6B2:ENST00000588572.6_7:exon3:c.C118T:p.H40Y,COX6B2:ENST00000589467.1_3:exon3:c.C118T:p.H40Y,COX6B2:ENST00000593184.5_4:exon3:c.C118T:p.H40Y</t>
  </si>
  <si>
    <t xml:space="preserve">5/8</t>
  </si>
  <si>
    <t xml:space="preserve">0.0487105755786073</t>
  </si>
  <si>
    <t xml:space="preserve">cytochrome c oxidase subunit 6B2</t>
  </si>
  <si>
    <t xml:space="preserve">FUNCTION: Connects the two COX monomers into the physiological dimeric form. {ECO:0000250}.; </t>
  </si>
  <si>
    <t xml:space="preserve">38.64</t>
  </si>
  <si>
    <t xml:space="preserve">TAF1B:NM_001318977:exon9:c.A292T:p.K98X,TAF1B:NM_001318976:exon10:c.A292T:p.K98X,TAF1B:NM_005680:exon10:c.A1057T:p.K353X;TAF1B:uc010exd.3:exon9:c.A292T:p.K98X,TAF1B:uc002qzy.4:exon10:c.A1057T:p.K353X,TAF1B:uc002qzz.3:exon10:c.A1057T:p.K353X,TAF1B:uc010exc.2:exon10:c.A1057T:p.K353X,TAF1B:uc010yja.2:exon10:c.A292T:p.K98X;TAF1B:ENST00000263663.10_7:exon10:c.A1057T:p.K353X</t>
  </si>
  <si>
    <t xml:space="preserve">4.28699121753238e-06</t>
  </si>
  <si>
    <t xml:space="preserve">TATA-box binding protein associated factor, RNA polymerase I subunit B</t>
  </si>
  <si>
    <t xml:space="preserve">FUNCTION: Component of RNA polymerase I core factor complex that acts as a GTF2B/TFIIB-like factor and plays a key role in multiple steps during trancription initiation such as preinitiation complex (PIC) assembly and postpolymerase recruitment events in polymerase I (Pol I) transcription. Binds rDNA promoters and plays a role in Pol I recruitment as a component of the SL1/TIF-IB complex and, possibly, directly through its interaction with RRN3. {ECO:0000269|PubMed:15970593, ECO:0000269|PubMed:21921198, ECO:0000269|PubMed:21921199, ECO:0000269|PubMed:7491500, ECO:0000269|PubMed:7801123, ECO:0000269|PubMed:7801130}.; </t>
  </si>
  <si>
    <t xml:space="preserve">1587.64</t>
  </si>
  <si>
    <t xml:space="preserve">102</t>
  </si>
  <si>
    <t xml:space="preserve">51,51</t>
  </si>
  <si>
    <t xml:space="preserve">ADGRF3:NM_153835:exon8:c.C1912T:p.R638X,ADGRF3:NM_001145169:exon10:c.C2302T:p.R768X,ADGRF3:NM_001321971:exon10:c.C2305T:p.R769X,ADGRF3:NM_001145168:exon11:c.C2509T:p.R837X,ADGRF3:NM_001321975:exon11:c.C1318T:p.R440X;GPR113:uc002rhc.1:exon5:c.C1318T:p.R440X,GPR113:uc010eyk.1:exon8:c.C1912T:p.R638X,GPR113:uc010yky.1:exon10:c.C2302T:p.R768X,GPR113:uc002rhb.1:exon11:c.C1318T:p.R440X,GPR113:uc002rhe.4:exon11:c.C2509T:p.R837X;ADGRF3:ENST00000333478.10_9:exon8:c.C1912T:p.R638X,ADGRF3:ENST00000421160.6_6:exon10:c.C2302T:p.R768X,ADGRF3:ENST00000651242.2_5:exon10:c.C2305T:p.R769X,ADGRF3:ENST00000311519.5_8:exon11:c.C2509T:p.R837X</t>
  </si>
  <si>
    <t xml:space="preserve">adhesion G protein-coupled receptor F3</t>
  </si>
  <si>
    <t xml:space="preserve">FUNCTION: Orphan receptor.; </t>
  </si>
  <si>
    <t xml:space="preserve">1794.64</t>
  </si>
  <si>
    <t xml:space="preserve">125</t>
  </si>
  <si>
    <t xml:space="preserve">57,68</t>
  </si>
  <si>
    <t xml:space="preserve">FAM166C:NM_001105519:exon2:c.C232G:p.P78A,FAM166C:NM_001322426:exon3:c.C194G:p.P65R;C2orf70:uc010eyn.3:exon2:c.C232G:p.P78A,C2orf70:uc031rnt.1:exon2:c.C64G:p.P22A;FAM166C:ENST00000329615.4_5:exon2:c.C232G:p.P78A,FAM166C:ENST00000409392.5_2:exon3:c.C194G:p.P65R</t>
  </si>
  <si>
    <t xml:space="preserve">0.000944694394683253</t>
  </si>
  <si>
    <t xml:space="preserve">chromosome 2 open reading frame 70</t>
  </si>
  <si>
    <t xml:space="preserve">BIRC6:NM_001378125:exon16:c.G3674T:p.G1225V,BIRC6:NM_016252:exon16:c.G3716T:p.G1239V;BIRC6:uc010ezu.3:exon16:c.G3716T:p.G1239V;BIRC6:ENST00000700518.1_1:exon15:c.G3626T:p.G1209V,BIRC6:ENST00000421745.7_3:exon16:c.G3716T:p.G1239V,BIRC6:ENST00000700519.1_1:exon16:c.G3716T:p.G1239V</t>
  </si>
  <si>
    <t xml:space="preserve">0.999999999999996</t>
  </si>
  <si>
    <t xml:space="preserve">baculoviral IAP repeat containing 6</t>
  </si>
  <si>
    <t xml:space="preserve">FUNCTION: Anti-apoptotic protein which can regulate cell death by controlling caspases and by acting as an E3 ubiquitin-protein ligase. Has an unusual ubiquitin conjugation system in that it could combine in a single polypeptide, ubiquitin conjugating (E2) with ubiquitin ligase (E3) activity, forming a chimeric E2/E3 ubiquitin ligase. Its tragets include CASP9 and DIABLO/SMAC. Acts as an inhibitor of CASP3, CASP7 and CASP9. Important regulator for the final stages of cytokinesis. Crucial for normal vesicle targeting to the site of abscission, but also for the integrity of the midbody and the midbody ring, and its striking ubiquitin modification. {ECO:0000269|PubMed:14765125, ECO:0000269|PubMed:15200957, ECO:0000269|PubMed:18329369}.; </t>
  </si>
  <si>
    <t xml:space="preserve">SPTBN1:NM_178313:exon12:c.A1751G:p.D584G,SPTBN1:NM_003128:exon13:c.A1790G:p.D597G;SPTBN1:uc002rxx.3:exon12:c.A1751G:p.D584G,SPTBN1:uc002rxu.3:exon13:c.A1790G:p.D597G,SPTBN1:uc002rxv.1:exon13:c.A1790G:p.D597G;SPTBN1:ENST00000333896.5_3:exon12:c.A1751G:p.D584G,SPTBN1:ENST00000356805.9_9:exon13:c.A1790G:p.D597G,SPTBN1:ENST00000615901.4_2:exon13:c.A1790G:p.D597G</t>
  </si>
  <si>
    <t xml:space="preserve">0.999999999947367</t>
  </si>
  <si>
    <t xml:space="preserve">spectrin beta, non-erythrocytic 1</t>
  </si>
  <si>
    <t xml:space="preserve">FUNCTION: Fodrin, which seems to be involved in secretion, interacts with calmodulin in a calcium-dependent manner and is thus candidate for the calcium-dependent movement of the cytoskeleton at the membrane.; </t>
  </si>
  <si>
    <t xml:space="preserve">VPS54:NM_001005739:exon12:c.C1646T:p.S549F,VPS54:NM_016516:exon12:c.C1682T:p.S561F;VPS54:uc002sco.3:exon1:c.C137T:p.S46F,VPS54:uc010fct.3:exon9:c.C1223T:p.S408F,VPS54:uc002scp.3:exon12:c.C1646T:p.S549F,VPS54:uc002scq.3:exon12:c.C1682T:p.S561F;VPS54:ENST00000354504.7_3:exon9:c.C1223T:p.S408F,VPS54:ENST00000272322.9_7:exon12:c.C1682T:p.S561F,VPS54:ENST00000409558.8_6:exon12:c.C1646T:p.S549F</t>
  </si>
  <si>
    <t xml:space="preserve">0.949816739802316</t>
  </si>
  <si>
    <t xml:space="preserve">VPS54, GARP complex subunit</t>
  </si>
  <si>
    <t xml:space="preserve">FUNCTION: Acts as component of the GARP complex that is involved in retrograde transport from early and late endosomes to the trans-Golgi network (TGN). The GARP complex is required for the maintenance of the cycling of mannose 6-phosphate receptors between the TGN and endosomes, this cycling is necessary for proper lysosomal sorting of acid hydrolases such as CTSD (PubMed:18367545). Within the GARP complex, required to tether the complex to the TGN. Not involved in endocytic recycling (PubMed:25799061). {ECO:0000269|PubMed:18367545, ECO:0000269|PubMed:25799061}.; </t>
  </si>
  <si>
    <t xml:space="preserve">690.64</t>
  </si>
  <si>
    <t xml:space="preserve">11,18</t>
  </si>
  <si>
    <t xml:space="preserve">KCMF1:NM_020122:exon6:c.G632A:p.R211H;KCMF1:uc002sox.4:exon6:c.G632A:p.R211H;KCMF1:ENST00000409785.9_3:exon6:c.G632A:p.R211H</t>
  </si>
  <si>
    <t xml:space="preserve">0.595292976154389</t>
  </si>
  <si>
    <t xml:space="preserve">potassium channel modulatory factor 1</t>
  </si>
  <si>
    <t xml:space="preserve">FUNCTION: Has intrinsic E3 ubiquitin ligase activity and promotes ubiquitination. {ECO:0000269|PubMed:15581609}.; </t>
  </si>
  <si>
    <t xml:space="preserve">EIF2AK3:NM_001313915:exon5:c.A548G:p.Q183R,EIF2AK3:NM_004836:exon5:c.A1001G:p.Q334R;EIF2AK3:uc002stc.4:exon5:c.A1001G:p.Q334R;EIF2AK3:ENST00000303236.9_6:exon5:c.A1001G:p.Q334R,EIF2AK3:ENST00000682892.1_1:exon6:c.A548G:p.Q183R</t>
  </si>
  <si>
    <t xml:space="preserve">0.0114235489498432</t>
  </si>
  <si>
    <t xml:space="preserve">eukaryotic translation initiation factor 2 alpha kinase 3</t>
  </si>
  <si>
    <t xml:space="preserve">FUNCTION: Metabolic-stress sensing protein kinase that phosphorylates the alpha subunit of eukaryotic translation initiation factor 2 (eIF-2-alpha/EIF2S1) on 'Ser-52' during the unfolded protein response (UPR) and in response to low amino acid availability. Converts phosphorylated eIF-2-alpha/EIF2S1 either in a global protein synthesis inhibitor, leading to a reduced overall utilization of amino acids, or to a translation initiation activator of specific mRNAs, such as the transcriptional activator ATF4, and hence allowing ATF4-mediated reprogramming of amino acid biosynthetic gene expression to alleviate nutrient depletion. Serves as a critical effector of unfolded protein response (UPR)- induced G1 growth arrest due to the loss of cyclin-D1 (CCND1). Involved in control of mitochondrial morphology and function. {ECO:0000250|UniProtKB:Q9Z2B5}.; </t>
  </si>
  <si>
    <t xml:space="preserve">DISEASE: Wolcott-Rallison syndrome (WRS) [MIM:226980]: A rare autosomal recessive disorder, characterized by permanent neonatal or early infancy insulin-dependent diabetes and, at a later age, epiphyseal dysplasia, osteoporosis, growth retardation and other multisystem manifestations, such as hepatic and renal dysfunctions, mental retardation and cardiovascular abnormalities. {ECO:0000269|PubMed:10932183}. Note=The disease is caused by mutations affecting the gene represented in this entry.; </t>
  </si>
  <si>
    <t xml:space="preserve">27,4</t>
  </si>
  <si>
    <t xml:space="preserve">downstream;exonic</t>
  </si>
  <si>
    <t xml:space="preserve">ANKRD36C:NM_001310154:exon84:c.C5500G:p.R1834G;dist=149;ANKRD36C:ENST00000456556.5_6:exon63:c.C4402G:p.R1468G,ANKRD36C:ENST00000295246.7_6:exon83:c.C5425G:p.R1809G</t>
  </si>
  <si>
    <t xml:space="preserve">5</t>
  </si>
  <si>
    <t xml:space="preserve">ankyrin repeat domain 36C</t>
  </si>
  <si>
    <t xml:space="preserve">ANKRD36C:NM_001310154:exon84:c.A5498G:p.Y1833C;dist=147;ANKRD36C:ENST00000456556.5_6:exon63:c.A4400G:p.Y1467C,ANKRD36C:ENST00000295246.7_6:exon83:c.A5423G:p.Y1808C</t>
  </si>
  <si>
    <t xml:space="preserve">21,16</t>
  </si>
  <si>
    <t xml:space="preserve">SNRNP200:NM_014014:exon39:c.A5552G:p.N1851S;SNRNP200:uc002svt.3:exon9:c.A1382G:p.N461S,SNRNP200:uc002svu.3:exon39:c.A5552G:p.N1851S;SNRNP200:ENST00000323853.10_5:exon39:c.A5552G:p.N1851S</t>
  </si>
  <si>
    <t xml:space="preserve">0.999999999999148</t>
  </si>
  <si>
    <t xml:space="preserve">small nuclear ribonucleoprotein U5 subunit 200</t>
  </si>
  <si>
    <t xml:space="preserve">FUNCTION: RNA helicase that plays an essential role in pre-mRNA splicing as component of the U5 snRNP and U4/U6-U5 tri-snRNP complexes. Involved in spliceosome assembly, activation and disassembly. Mediates changes in the dynamic network of RNA-RNA interactions in the spliceosome. Catalyzes the ATP-dependent unwinding of U4/U6 RNA duplices, an essential step in the assembly of a catalytically active spliceosome. {ECO:0000269|PubMed:16723661, ECO:0000269|PubMed:23045696, ECO:0000269|PubMed:8670905, ECO:0000269|PubMed:9539711}.; </t>
  </si>
  <si>
    <t xml:space="preserve">DISEASE: Retinitis pigmentosa 33 (RP33) [MIM:610359]: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{ECO:0000269|PubMed:16723661, ECO:0000269|PubMed:19710410, ECO:0000269|PubMed:19878916, ECO:0000269|PubMed:21618346, ECO:0000269|PubMed:23029027, ECO:0000269|PubMed:23887765, ECO:0000269|PubMed:24319334}. Note=The disease is caused by mutations affecting the gene represented in this entry.; </t>
  </si>
  <si>
    <t xml:space="preserve">18,30</t>
  </si>
  <si>
    <t xml:space="preserve">SEMA4C:NM_017789:exon4:c.C274T:p.P92S;SEMA4C:uc002sxg.4:exon2:c.C433T:p.P145S,SEMA4C:uc002sxh.4:exon4:c.C274T:p.P92S;SEMA4C:ENST00000305476.10_5:exon4:c.C274T:p.P92S</t>
  </si>
  <si>
    <t xml:space="preserve">0.999373139159557</t>
  </si>
  <si>
    <t xml:space="preserve">semaphorin 4C</t>
  </si>
  <si>
    <t xml:space="preserve">FUNCTION: Cell surface receptor for PLXNB2 that plays an important role in cell-cell signaling. PLXNB2 binding promotes downstream activation of RHOA and phosphorylation of ERBB2 at 'Tyr-1248'. Required for normal brain development, axon guidance and cell migration (By similarity). Probable signaling receptor which may play a role in myogenic differentiation through activation of the stress-activated MAPK cascade. {ECO:0000250, ECO:0000269|PubMed:17498836}.; </t>
  </si>
  <si>
    <t xml:space="preserve">894.64</t>
  </si>
  <si>
    <t xml:space="preserve">MAP4K4:NM_001384560:exon22:c.A2702G:p.N901S,MAP4K4:NM_001384482:exon23:c.A2636G:p.N879S,MAP4K4:NM_001384550:exon23:c.A2855G:p.N952S,MAP4K4:NM_001384554:exon23:c.A2840G:p.N947S,MAP4K4:NM_001384557:exon23:c.A2771G:p.N924S,MAP4K4:NM_001384561:exon23:c.A2618G:p.N873S,MAP4K4:NM_001242559:exon24:c.A2888G:p.N963S,MAP4K4:NM_001384483:exon24:c.A2918G:p.N973S,MAP4K4:NM_001384490:exon24:c.A2738G:p.N913S,MAP4K4:NM_001384494:exon24:c.A2735G:p.N912S,MAP4K4:NM_001384496:exon24:c.A2921G:p.N974S,MAP4K4:NM_001384549:exon24:c.A2810G:p.N937S,MAP4K4:NM_001384551:exon24:c.A2780G:p.N927S,MAP4K4:NM_001384552:exon24:c.A2939G:p.N980S,MAP4K4:NM_001384556:exon24:c.A2933G:p.N978S,MAP4K4:NM_001384558:exon24:c.A2849G:p.N950S,MAP4K4:NM_001384559:exon24:c.A2807G:p.N936S,MAP4K4:NM_001384562:exon24:c.A2936G:p.N979S,MAP4K4:NM_001384572:exon24:c.A2942G:p.N981S,MAP4K4:NM_001384579:exon24:c.A2873G:p.N958S,MAP4K4:NM_004834:exon24:c.A2642G:p.N881S,MAP4K4:NM_001242560:exon25:c.A2876G:p.N959S,MAP4K4:NM_001384476:exon25:c.A2966G:p.N989S,MAP4K4:NM_001384481:exon25:c.A3083G:p.N1028S,MAP4K4:NM_001384484:exon25:c.A2969G:p.N990S,MAP4K4:NM_001384485:exon25:c.A2969G:p.N990S,MAP4K4:NM_001384487:exon25:c.A3059G:p.N1020S,MAP4K4:NM_001384491:exon25:c.A2873G:p.N958S,MAP4K4:NM_001384495:exon25:c.A2837G:p.N946S,MAP4K4:NM_001384507:exon25:c.A2900G:p.N967S,MAP4K4:NM_001384508:exon25:c.A2963G:p.N988S,MAP4K4:NM_001384509:exon25:c.A3056G:p.N1019S,MAP4K4:NM_001384520:exon25:c.A3029G:p.N1010S,MAP4K4:NM_001384548:exon25:c.A3074G:p.N1025S,MAP4K4:NM_001384553:exon25:c.A3128G:p.N1043S,MAP4K4:NM_001384555:exon25:c.A3134G:p.N1045S,MAP4K4:NM_001384563:exon25:c.A3125G:p.N1042S,MAP4K4:NM_001384564:exon25:c.A3194G:p.N1065S,MAP4K4:NM_001384567:exon25:c.A3041G:p.N1014S,MAP4K4:NM_145686:exon25:c.A2990G:p.N997S,MAP4K4:NM_145687:exon25:c.A2807G:p.N936S,MAP4K4:NM_001384477:exon26:c.A3155G:p.N1052S,MAP4K4:NM_001384486:exon26:c.A3092G:p.N1031S,MAP4K4:NM_001384488:exon26:c.A3089G:p.N1030S,MAP4K4:NM_001384493:exon26:c.A3161G:p.N1054S,MAP4K4:NM_001384497:exon26:c.A3314G:p.N1105S,MAP4K4:NM_001384506:exon26:c.A3131G:p.N1044S,MAP4K4:NM_001384543:exon26:c.A3038G:p.N1013S,MAP4K4:NM_001384492:exon27:c.A3227G:p.N1076S;MAP4K4:uc002tbl.3:exon8:c.A446G:p.N149S,MAP4K4:uc021vlq.1:exon10:c.A446G:p.N149S,MAP4K4:uc002tbk.3:exon12:c.A1253G:p.N418S,MAP4K4:uc002tbi.3:exon20:c.A2297G:p.N766S,MAP4K4:uc002tbg.3:exon24:c.A2888G:p.N963S,MAP4K4:uc002tbh.3:exon24:c.A2642G:p.N881S,MAP4K4:uc010yvz.2:exon24:c.A3008G:p.N1003S,MAP4K4:uc002tbd.3:exon25:c.A2807G:p.N936S,MAP4K4:uc002tbf.3:exon25:c.A2990G:p.N997S,MAP4K4:uc010yvy.2:exon25:c.A2876G:p.N959S,MAP4K4:uc002tbc.3:exon26:c.A3131G:p.N1044S;MAP4K4:ENST00000456652.5_1:exon19:c.A2285G:p.N762S,MAP4K4:ENST00000413150.6_2:exon23:c.A2633G:p.N878S,MAP4K4:ENST00000347699.8_7:exon24:c.A2888G:p.N963S,MAP4K4:ENST00000634702.1_4:exon24:c.A2642G:p.N881S,MAP4K4:ENST00000350878.9_6:exon25:c.A2990G:p.N997S,MAP4K4:ENST00000425019.6_4:exon25:c.A2876G:p.N959S,MAP4K4:ENST00000625522.3_4:exon25:c.A2807G:p.N936S,MAP4K4:ENST00000324219.9_6:exon27:c.A3323G:p.N1108S</t>
  </si>
  <si>
    <t xml:space="preserve">0.999998979047087</t>
  </si>
  <si>
    <t xml:space="preserve">mitogen-activated protein kinase kinase kinase kinase 4</t>
  </si>
  <si>
    <t xml:space="preserve">FUNCTION: Serine/threonine kinase that may play a role in the response to environmental stress and cytokines such as TNF-alpha. Appears to act upstream of the JUN N-terminal pathway. Phosphorylates SMAD1 on Thr-322. {ECO:0000269|PubMed:21690388, ECO:0000269|PubMed:9890973}.; </t>
  </si>
  <si>
    <t xml:space="preserve">389.64</t>
  </si>
  <si>
    <t xml:space="preserve">ITGA6:NM_000210:exon4:c.G557C:p.G186A,ITGA6:NM_001079818:exon4:c.G557C:p.G186A,ITGA6:NM_001316306:exon4:c.G215C:p.G72A,ITGA6:NM_001365529:exon4:c.G557C:p.G186A,ITGA6:NM_001365530:exon4:c.G557C:p.G186A;ITGA6:uc002uho.1:exon4:c.G557C:p.G186A,ITGA6:uc002uhp.1:exon4:c.G557C:p.G186A,ITGA6:uc010fqk.1:exon4:c.G215C:p.G72A,ITGA6:uc010zdy.1:exon4:c.G215C:p.G72A;ITGA6:ENST00000264107.12_7:exon4:c.G557C:p.G186A,ITGA6:ENST00000409080.6_11:exon4:c.G557C:p.G186A,ITGA6:ENST00000409532.5_2:exon4:c.G215C:p.G72A,ITGA6:ENST00000442250.6_3:exon4:c.G557C:p.G186A,ITGA6:ENST00000458358.5_1:exon4:c.G557C:p.G186A,ITGA6:ENST00000684293.1_3:exon4:c.G557C:p.G186A</t>
  </si>
  <si>
    <t xml:space="preserve">0.00991360284214048</t>
  </si>
  <si>
    <t xml:space="preserve">integrin subunit alpha 6</t>
  </si>
  <si>
    <t xml:space="preserve">FUNCTION: Integrin alpha-6/beta-1 is a receptor for laminin on platelets. Integrin alpha-6/beta-4 is a receptor for laminin in epithelial cells and it plays a critical structural role in the hemidesmosome. {ECO:0000269|PubMed:17303120}.; </t>
  </si>
  <si>
    <t xml:space="preserve">DISEASE: Epidermolysis bullosa letalis, with pyloric atresia (EB- PA) [MIM:226730]: An autosomal recessive, frequently lethal, epidermolysis bullosa with variable involvement of skin, nails, mucosa, and with variable effects on the digestive system. It is characterized by mucocutaneous fragility, aplasia cutis congenita, and gastrointestinal atresia, which most commonly affects the pylorus. Pyloric atresia is a primary manifestation rather than a scarring process secondary to epidermolysis bullosa. Note=The disease is caused by mutations affecting the gene represented in this entry.; </t>
  </si>
  <si>
    <t xml:space="preserve">291.64</t>
  </si>
  <si>
    <t xml:space="preserve">22</t>
  </si>
  <si>
    <t xml:space="preserve">11,11</t>
  </si>
  <si>
    <t xml:space="preserve">SP3:NM_001017371:exon2:c.G514A:p.A172T,SP3:NM_001172712:exon4:c.G709A:p.A237T,SP3:NM_003111:exon4:c.G718A:p.A240T;SP3:uc002uie.3:exon2:c.G514A:p.A172T,SP3:uc002uif.3:exon2:c.G559A:p.A187T,SP3:uc002uig.3:exon4:c.G718A:p.A240T,SP3:uc010zel.2:exon4:c.G709A:p.A237T;SP3:ENST00000418194.7_5:exon2:c.G514A:p.A172T,SP3:ENST00000652005.2_4:exon2:c.G514A:p.A172T,SP3:ENST00000310015.12_6:exon4:c.G718A:p.A240T</t>
  </si>
  <si>
    <t xml:space="preserve">0.992297744064531</t>
  </si>
  <si>
    <t xml:space="preserve">Sp3 transcription factor</t>
  </si>
  <si>
    <t xml:space="preserve">FUNCTION: Transcriptional factor that can act as an activator or repressor depending on isoform and/or post-translational modifications. Binds to GT and GC boxes promoter elements. Competes with SP1 for the GC-box promoters. Weak activator of transcription but can activate a number of genes involved in different processes such as cell-cycle regulation, hormone- induction and house-keeping. {ECO:0000269|PubMed:10391891, ECO:0000269|PubMed:11812829, ECO:0000269|PubMed:12419227, ECO:0000269|PubMed:12837748, ECO:0000269|PubMed:15247228, ECO:0000269|PubMed:15494207, ECO:0000269|PubMed:15554904, ECO:0000269|PubMed:16781829, ECO:0000269|PubMed:17548428, ECO:0000269|PubMed:18187045, ECO:0000269|PubMed:18617891, ECO:0000269|PubMed:9278495}.; </t>
  </si>
  <si>
    <t xml:space="preserve">35.64</t>
  </si>
  <si>
    <t xml:space="preserve">10,2</t>
  </si>
  <si>
    <t xml:space="preserve">TTN:NM_133378:exon58:c.C14104T:p.H4702Y,TTN:NM_001256850:exon59:c.C16885T:p.H5629Y,TTN:NM_001267550:exon61:c.C17836T:p.H5946Y;TTN:uc002umz.1:exon16:c.C4087T:p.H1363Y,TTN:uc021vsy.2:exon58:c.C14104T:p.H4702Y,TTN:uc031rqd.1:exon59:c.C16885T:p.H5629Y,TTN:uc031rqc.1:exon61:c.C17836T:p.H5946Y;TTN:ENST00000342992.11_6:exon58:c.C14104T:p.H4702Y,TTN:ENST00000591111.5_5:exon59:c.C16885T:p.H5629Y,TTN:ENST00000589042.5_7:exon61:c.C17836T:p.H5946Y</t>
  </si>
  <si>
    <t xml:space="preserve">1.21111377105808e-32</t>
  </si>
  <si>
    <t xml:space="preserve">titin</t>
  </si>
  <si>
    <t xml:space="preserve">FUNCTION: 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 {ECO:0000269|PubMed:9804419}.; </t>
  </si>
  <si>
    <t xml:space="preserve">DISEASE: Hereditary myopathy with early respiratory failure (HMERF) [MIM:603689]: Autosomal dominant, adult-onset myopathy with early respiratory muscle involvement. {ECO:0000269|PubMed:15802564}. Note=The disease is caused by mutations affecting the gene represented in this entry.; DISEASE: Cardiomyopathy, familial hypertrophic 9 (CMH9) [MIM:613765]: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{ECO:0000269|PubMed:10462489}. Note=The disease is caused by mutations affecting the gene represented in this entry.; DISEASE: Cardiomyopathy, dilated 1G (CMD1G) [MIM:604145]: A disorder characterized by ventricular dilation and impaired systolic function, resulting in congestive heart failure and arrhythmia. Patients are at risk of premature death. {ECO:0000269|PubMed:11788824, ECO:0000269|PubMed:11846417, ECO:0000269|PubMed:16465475}. Note=The disease is caused by mutations affecting the gene represented in this entry.; DISEASE: Tardive tibial muscular dystrophy (TMD) [MIM:600334]: Autosomal dominant, late-onset distal myopathy. Muscle weakness and atrophy are usually confined to the anterior compartment of the lower leg, in particular the tibialis anterior muscle. Clinical symptoms usually occur at age 35-45 years or much later. {ECO:0000269|PubMed:12145747, ECO:0000269|PubMed:12891679}. Note=The disease is caused by mutations affecting the gene represented in this entry.; DISEASE: Limb-girdle muscular dystrophy 2J (LGMD2J) [MIM:608807]: An autosomal recessive degenerative myopathy characterized by progressive weakness of the pelvic and shoulder girdle muscles. Severe disability is observed within 20 years of onset. {ECO:0000269|PubMed:12145747}. Note=The disease is caused by mutations affecting the gene represented in this entry.; DISEASE: Early-onset myopathy with fatal cardiomyopathy (EOMFC) [MIM:611705]: Early-onset myopathies are inherited muscle disorders that manifest typically from birth or infancy with hypotonia, muscle weakness, and delayed motor development. EOMFC is a titinopathy that, in contrast with the previously described examples, involves both heart and skeletal muscle, has a congenital onset, and is purely recessive. This phenotype is due to homozygous out-of-frame TTN deletions, which lead to a total absence of titin's C-terminal end from striated muscles and to secondary CAPN3 depletion. {ECO:0000269|PubMed:17444505}. Note=The disease is caused by mutations affecting the gene represented in this entry.; </t>
  </si>
  <si>
    <t xml:space="preserve">700.64</t>
  </si>
  <si>
    <t xml:space="preserve">14,21</t>
  </si>
  <si>
    <t xml:space="preserve">FLACC1:NM_001127391:exon13:c.A983G:p.E328G,FLACC1:NM_001289993:exon13:c.A983G:p.E328G,FLACC1:NM_139163:exon13:c.A1052G:p.E351G;ALS2CR12:uc002uya.4:exon13:c.A983G:p.E328G,ALS2CR12:uc010ftg.3:exon13:c.A1052G:p.E351G,ALS2CR12:uc031rqr.1:exon13:c.A983G:p.E328G;FLACC1:ENST00000286190.9_6:exon12:c.A1052G:p.E351G,FLACC1:ENST00000392257.8_7:exon13:c.A983G:p.E328G,FLACC1:ENST00000405148.6_6:exon13:c.A1052G:p.E351G,FLACC1:ENST00000439709.5_5:exon13:c.A983G:p.E328G</t>
  </si>
  <si>
    <t xml:space="preserve">1.66284147135039e-10</t>
  </si>
  <si>
    <t xml:space="preserve">amyotrophic lateral sclerosis 2 chromosome region candidate 12</t>
  </si>
  <si>
    <t xml:space="preserve">PECR:NM_018441:exon1:c.T2C:p.M1?;PECR:uc002vft.3:exon1:c.T2C:p.M1?;PECR:ENST00000265322.8_5:exon1:c.T2C:p.M1?</t>
  </si>
  <si>
    <t xml:space="preserve">0.000786066276789855</t>
  </si>
  <si>
    <t xml:space="preserve">peroxisomal trans-2-enoyl-CoA reductase</t>
  </si>
  <si>
    <t xml:space="preserve">FUNCTION: Participates in chain elongation of fatty acids. Has no 2,4-dienoyl-CoA reductase activity.; </t>
  </si>
  <si>
    <t xml:space="preserve">905.64</t>
  </si>
  <si>
    <t xml:space="preserve">69,34</t>
  </si>
  <si>
    <t xml:space="preserve">CXCR2:NM_001557:exon3:c.C238A:p.R80S,CXCR2:NM_001168298:exon4:c.C238A:p.R80S;CXCR2:uc021vwp.1:exon1:c.C238A:p.R80S,CXCR2:uc002vha.2:exon3:c.C238A:p.R80S,CXCR2:uc002vgz.2:exon4:c.C238A:p.R80S,CXCR2:uc002vhb.2:exon4:c.C238A:p.R80S;CXCR2:ENST00000318507.7_3:exon3:c.C238A:p.R80S</t>
  </si>
  <si>
    <t xml:space="preserve">0.405284397129407</t>
  </si>
  <si>
    <t xml:space="preserve">C-X-C motif chemokine receptor 2</t>
  </si>
  <si>
    <t xml:space="preserve">FUNCTION: Receptor for interleukin-8 which is a powerful neutrophil chemotactic factor. Binding of IL-8 to the receptor causes activation of neutrophils. This response is mediated via a G-protein that activates a phosphatidylinositol-calcium second messenger system. Binds to IL-8 with high affinity. Also binds with high affinity to CXCL3, GRO/MGSA and NAP-2.; </t>
  </si>
  <si>
    <t xml:space="preserve">CATIP:NM_001320865:exon10:c.G1088A:p.G363D,CATIP:NM_198559:exon10:c.G1055A:p.G352D;C2orf62:uc002vhr.3:exon10:c.G1055A:p.G352D;CATIP:ENST00000289388.4_3:exon10:c.G1055A:p.G352D</t>
  </si>
  <si>
    <t xml:space="preserve">ciliogenesis associated TTC17 interacting protein</t>
  </si>
  <si>
    <t xml:space="preserve">FUNCTION: Plays a role in primary ciliogenesis by modulating actin polymerization. {ECO:0000269|PubMed:24475127}.; </t>
  </si>
  <si>
    <t xml:space="preserve">449.64</t>
  </si>
  <si>
    <t xml:space="preserve">13,14</t>
  </si>
  <si>
    <t xml:space="preserve">ABHD12:NM_001042472:exon2:c.A288G:p.I96M,ABHD12:NM_015600:exon2:c.A288G:p.I96M;ABHD12:uc002wuq.3:exon2:c.A288G:p.I96M,ABHD12:uc002wus.2:exon2:c.A288G:p.I96M;ABHD12:ENST00000339157.10_5:exon2:c.A288G:p.I96M,ABHD12:ENST00000376542.8_4:exon2:c.A288G:p.I96M</t>
  </si>
  <si>
    <t xml:space="preserve">1.98295570505197e-06</t>
  </si>
  <si>
    <t xml:space="preserve">abhydrolase domain containing 12</t>
  </si>
  <si>
    <t xml:space="preserve">FUNCTION: Lysophosphatidylserine (LPS) lipase that plays a key role in the central nervous system. Represents a major LPS lipase in the brain (By similarity). May also have a 2- arachidonoylglycerol (2-AG) hydrolase activity and act as a regulator of endocannabinoid signaling pathways. {ECO:0000250|UniProtKB:Q99LR1, ECO:0000269|PubMed:22969151, ECO:0000269|PubMed:24027063}.; </t>
  </si>
  <si>
    <t xml:space="preserve">DISEASE: Polyneuropathy, hearing loss, ataxia, retinitis pigmentosa, and cataract (PHARC) [MIM:612674]: A slowly progressive neurologic disorder with a variable phenotype resembling Refsum disease. Clinical features include sensorineural hearing loss, visual problems related to cataracts, retinitis pigmentosa, pes cavus, ataxic and/or spastic gait disturbances with a progressive sensorimotor peripheral neuropathy. Other features include hyporeflexia, hyperreflexia, extensor plantar responses. {ECO:0000269|PubMed:20797687, ECO:0000269|PubMed:22938382, ECO:0000269|PubMed:24027063}. Note=The disease is caused by mutations affecting the gene represented in this entry.; </t>
  </si>
  <si>
    <t xml:space="preserve">562.64</t>
  </si>
  <si>
    <t xml:space="preserve">17,17</t>
  </si>
  <si>
    <t xml:space="preserve">DUSP15:NM_001012644:exon7:c.T185G:p.L62W,DUSP15:NM_001320478:exon7:c.T485G:p.L162W,DUSP15:NM_080611:exon7:c.T494G:p.L165W,DUSP15:NM_177991:exon7:c.T185G:p.L62W;DUSP15:uc002wwv.1:exon7:c.T185G:p.L62W,DUSP15:uc002www.1:exon7:c.T185G:p.L62W,DUSP15:uc002wwx.1:exon7:c.T494G:p.L165W;DUSP15:ENST00000486996.5_3:exon6:c.T185G:p.L62W,DUSP15:ENST00000339738.10_4:exon7:c.T494G:p.L165W,DUSP15:ENST00000375966.8_4:exon7:c.T485G:p.L162W,DUSP15:ENST00000398083.5_3:exon7:c.T185G:p.L62W,DUSP15:ENST00000398084.6_3:exon7:c.T185G:p.L62W</t>
  </si>
  <si>
    <t xml:space="preserve">0.000219668008201055</t>
  </si>
  <si>
    <t xml:space="preserve">dual specificity phosphatase 15</t>
  </si>
  <si>
    <t xml:space="preserve">828.64</t>
  </si>
  <si>
    <t xml:space="preserve">22,24</t>
  </si>
  <si>
    <t xml:space="preserve">PROCR:NM_006404:exon2:c.C279G:p.F93L;PROCR:uc002xbt.3:exon2:c.C279G:p.F93L;PROCR:ENST00000216968.5_4:exon2:c.C279G:p.F93L</t>
  </si>
  <si>
    <t xml:space="preserve">0.0101308888898987</t>
  </si>
  <si>
    <t xml:space="preserve">protein C receptor</t>
  </si>
  <si>
    <t xml:space="preserve">FUNCTION: Binds activated protein C. Enhances protein C activation by the thrombin-thrombomodulin complex; plays a role in the protein C pathway controlling blood coagulation.; </t>
  </si>
  <si>
    <t xml:space="preserve">885.64</t>
  </si>
  <si>
    <t xml:space="preserve">KIAA1755:NM_001029864:exon3:c.C1528T:p.R510X;KIAA1755:uc002xhy.1:exon3:c.C1528T:p.R510X,KIAA1755:uc002xhz.1:exon3:c.C1528T:p.R510X;KIAA1755:ENST00000279024.9_9:exon3:c.C1528T:p.R510X,KIAA1755:ENST00000496900.2_5:exon3:c.C1528T:p.R510X</t>
  </si>
  <si>
    <t xml:space="preserve">2.32481835791205e-15</t>
  </si>
  <si>
    <t xml:space="preserve">KIAA1755</t>
  </si>
  <si>
    <t xml:space="preserve">912.64</t>
  </si>
  <si>
    <t xml:space="preserve">PPP1R16B:NM_001172735:exon10:c.A1291C:p.K431Q,PPP1R16B:NM_015568:exon11:c.A1417C:p.K473Q;PPP1R16B:uc010ggc.3:exon10:c.A1291C:p.K431Q,PPP1R16B:uc002xje.3:exon11:c.A1417C:p.K473Q;PPP1R16B:ENST00000373331.2_1:exon10:c.A1291C:p.K431Q,PPP1R16B:ENST00000299824.6_3:exon11:c.A1417C:p.K473Q</t>
  </si>
  <si>
    <t xml:space="preserve">0.998536940448375</t>
  </si>
  <si>
    <t xml:space="preserve">protein phosphatase 1 regulatory subunit 16B</t>
  </si>
  <si>
    <t xml:space="preserve">FUNCTION: Regulator of protein phosphatase 1 (PP1) that acts as a positive regulator of pulmonary endothelial cell (EC) barrier function. Involved in PKA-mediated moesin dephosphorylation which is important in EC barrier protection against thrombin stimulation. Promotes the interaction of PPP1CA with RPSA/LAMR1 and in turn facilitates the dephosphorylation of RPSA/LAMR1. Involved in the regulation of endothelial cell filopodia extension. May be a downstream target for TGF-beta1 signaling cascade in endothelial cells. {ECO:0000269|PubMed:16263087, ECO:0000269|PubMed:18586956}.; </t>
  </si>
  <si>
    <t xml:space="preserve">1318.64</t>
  </si>
  <si>
    <t xml:space="preserve">43,42</t>
  </si>
  <si>
    <t xml:space="preserve">FAM83D:NM_030919:exon4:c.C1265G:p.T422S;FAM83D:uc002xjg.3:exon4:c.C1355G:p.T452S;FAM83D:ENST00000619304.4_4:exon4:c.C1355G:p.T452S,FAM83D:ENST00000619850.2_8:exon4:c.C1265G:p.T422S</t>
  </si>
  <si>
    <t xml:space="preserve">2.57679581643321e-05</t>
  </si>
  <si>
    <t xml:space="preserve">family with sequence similarity 83 member D</t>
  </si>
  <si>
    <t xml:space="preserve">FUNCTION: Probable proto-oncogene that regulates cell proliferation, growth, migration and epithelial to mesenchymal transition. Through the degradation of FBXW7, may act indirectly on the expression and downstream signaling of MTOR, JUN and MYC (PubMed:24344117). May play also a role in cell proliferation through activation of the ERK1/ERK2 signaling cascade (PubMed:25646692). May also be important for proper chromosome congression and alignment during mitosis through its interaction with KIF22. {ECO:0000269|PubMed:18485706, ECO:0000269|PubMed:24344117, ECO:0000269|PubMed:25646692}.; </t>
  </si>
  <si>
    <t xml:space="preserve">838.64</t>
  </si>
  <si>
    <t xml:space="preserve">49,30</t>
  </si>
  <si>
    <t xml:space="preserve">CHD6:NM_032221:exon37:c.A8086G:p.R2696G;CHD6:uc002xjz.1:exon3:c.A697G:p.R233G,CHD6:uc002xka.1:exon37:c.A8086G:p.R2696G;CHD6:ENST00000373233.8_5:exon37:c.A8086G:p.R2696G</t>
  </si>
  <si>
    <t xml:space="preserve">0.99999999999754</t>
  </si>
  <si>
    <t xml:space="preserve">chromodomain helicase DNA binding protein 6</t>
  </si>
  <si>
    <t xml:space="preserve">FUNCTION: Probable chromatin-remodeling protein with a DNA- dependent ATPase activity. May play a role in transcription regulation, activating for instance, the transcription of specific genes in response to oxidative stress through interaction with NFE2L2. {ECO:0000269|PubMed:16314513}.; </t>
  </si>
  <si>
    <t xml:space="preserve">534.64</t>
  </si>
  <si>
    <t xml:space="preserve">LAMA5:NM_005560:exon55:c.G7462A:p.A2488T;LAMA5:uc002ycq.3:exon55:c.G7462A:p.A2488T,LAMA5:uc021wfw.1:exon55:c.G7462A:p.A2488T;LAMA5:ENST00000252999.7_4:exon55:c.G7462A:p.A2488T</t>
  </si>
  <si>
    <t xml:space="preserve">0.943037981027839</t>
  </si>
  <si>
    <t xml:space="preserve">laminin subunit alpha 5</t>
  </si>
  <si>
    <t xml:space="preserve">299.64</t>
  </si>
  <si>
    <t xml:space="preserve">6,11</t>
  </si>
  <si>
    <t xml:space="preserve">TCFL5:NM_001301726:exon1:c.G565A:p.D189N,TCFL5:NM_006602:exon1:c.G565A:p.D189N;TCFL5:uc002ydp.3:exon1:c.G565A:p.D189N,TCFL5:uc002ydq.3:exon1:c.G565A:p.D189N;TCFL5:ENST00000217162.5_3:exon1:c.G421A:p.D141N,TCFL5:ENST00000335351.8_8:exon1:c.G565A:p.D189N</t>
  </si>
  <si>
    <t xml:space="preserve">0.95806915495759</t>
  </si>
  <si>
    <t xml:space="preserve">transcription factor-like 5 (basic helix-loop-helix)</t>
  </si>
  <si>
    <t xml:space="preserve">FUNCTION: Putative transcription factor. Isoform 3 may play a role in early spermatogenesis. {ECO:0000269|PubMed:9763657}.; </t>
  </si>
  <si>
    <t xml:space="preserve">419.64</t>
  </si>
  <si>
    <t xml:space="preserve">28,14</t>
  </si>
  <si>
    <t xml:space="preserve">ARFRP1:NM_001267546:exon7:c.G437T:p.R146L,ARFRP1:NM_001267547:exon8:c.G578T:p.R193L,ARFRP1:NM_001267548:exon8:c.G578T:p.R193L,ARFRP1:NM_003224:exon8:c.G578T:p.R193L;ARFRP1:uc002yga.3:exon7:c.G578T:p.R193L,ARFRP1:uc031ruq.1:exon7:c.G437T:p.R146L,ARFRP1:uc002ygc.4:exon8:c.G578T:p.R193L,ARFRP1:uc002ygf.4:exon8:c.G578T:p.R193L,ARFRP1:uc031rup.1:exon8:c.G578T:p.R193L;ARFRP1:ENST00000607873.1_4:exon7:c.G437T:p.R146L,ARFRP1:ENST00000612256.4_4:exon7:c.G437T:p.R146L,ARFRP1:ENST00000618838.4_4:exon8:c.G578T:p.R193L,ARFRP1:ENST00000619493.4_5:exon8:c.G578T:p.R193L,ARFRP1:ENST00000622789.5_6:exon8:c.G578T:p.R193L</t>
  </si>
  <si>
    <t xml:space="preserve">0.135717560060112</t>
  </si>
  <si>
    <t xml:space="preserve">ADP ribosylation factor related protein 1</t>
  </si>
  <si>
    <t xml:space="preserve">FUNCTION: Trans-Golgi-associated GTPase that regulates protein sorting. Controls the targeting of ARL1 and its effector to the trans-Golgi. Required for the lipidation of chylomicrons in the intestine and required for VLDL lipidation in the liver. {ECO:0000250|UniProtKB:Q8BXL7}.; </t>
  </si>
  <si>
    <t xml:space="preserve">655.64</t>
  </si>
  <si>
    <t xml:space="preserve">22,22</t>
  </si>
  <si>
    <t xml:space="preserve">SAMD10:NM_080621:exon4:c.C452T:p.A151V;SAMD10:uc002yhm.2:exon4:c.C452T:p.A151V;SAMD10:ENST00000369886.8_5:exon4:c.C452T:p.A151V</t>
  </si>
  <si>
    <t xml:space="preserve">0.00605113928963302</t>
  </si>
  <si>
    <t xml:space="preserve">sterile alpha motif domain containing 10</t>
  </si>
  <si>
    <t xml:space="preserve">chr21</t>
  </si>
  <si>
    <t xml:space="preserve">1152.64</t>
  </si>
  <si>
    <t xml:space="preserve">39,38</t>
  </si>
  <si>
    <t xml:space="preserve">SLC5A3:NM_006933:exon2:c.G1108A:p.V370M;SLC5A3:uc021wir.1:exon1:c.G1108A:p.V370M,SLC5A3:uc002yto.3:exon2:c.G1108A:p.V370M;SLC5A3:ENST00000381151.5_4:exon2:c.G1108A:p.V370M</t>
  </si>
  <si>
    <t xml:space="preserve">0.849464749953749</t>
  </si>
  <si>
    <t xml:space="preserve">solute carrier family 5 member 3</t>
  </si>
  <si>
    <t xml:space="preserve">FUNCTION: Prevents intracellular accumulation of high concentrations of myo-inositol (an osmolyte) that result in impairment of cellular function.; </t>
  </si>
  <si>
    <t xml:space="preserve">LCA5L:NM_001384292:exon3:c.C10G:p.Q4E,LCA5L:NM_001384294:exon3:c.C10G:p.Q4E,LCA5L:NM_001384311:exon3:c.C10G:p.Q4E,LCA5L:NM_001384295:exon4:c.C10G:p.Q4E,LCA5L:NM_001384296:exon4:c.C10G:p.Q4E,LCA5L:NM_001384304:exon4:c.C10G:p.Q4E,LCA5L:NM_001384306:exon4:c.C10G:p.Q4E,LCA5L:NM_001384307:exon4:c.C10G:p.Q4E,LCA5L:NM_001384308:exon4:c.C10G:p.Q4E,LCA5L:NM_001384309:exon4:c.C10G:p.Q4E,LCA5L:NM_001384312:exon4:c.C10G:p.Q4E,LCA5L:NM_001384285:exon5:c.C400G:p.Q134E,LCA5L:NM_001384286:exon5:c.C400G:p.Q134E,LCA5L:NM_001384287:exon5:c.C400G:p.Q134E,LCA5L:NM_001384289:exon5:c.C400G:p.Q134E,LCA5L:NM_001384291:exon5:c.C400G:p.Q134E,LCA5L:NM_001384293:exon5:c.C10G:p.Q4E,LCA5L:NM_001384298:exon5:c.C400G:p.Q134E,LCA5L:NM_001384302:exon5:c.C400G:p.Q134E,LCA5L:NM_001384303:exon5:c.C10G:p.Q4E,LCA5L:NM_001384305:exon5:c.C10G:p.Q4E,LCA5L:NM_001384310:exon5:c.C10G:p.Q4E,LCA5L:NM_001384313:exon5:c.C10G:p.Q4E,LCA5L:NM_001384288:exon6:c.C400G:p.Q134E,LCA5L:NM_001384300:exon6:c.C400G:p.Q134E,LCA5L:NM_001384301:exon6:c.C400G:p.Q134E,LCA5L:NM_152505:exon6:c.C400G:p.Q134E,LCA5L:NM_001384297:exon7:c.C400G:p.Q134E,LCA5L:NM_001384299:exon7:c.C400G:p.Q134E;LCA5L:uc002yxu.3:exon5:c.C400G:p.Q134E,LCA5L:uc002yxv.3:exon5:c.C400G:p.Q134E,LCA5L:uc002yxw.2:exon5:c.C400G:p.Q134E;LCA5L:ENST00000380671.6_4:exon2:c.C400G:p.Q134E,LCA5L:ENST00000358268.6_4:exon5:c.C400G:p.Q134E,LCA5L:ENST00000485895.6_4:exon5:c.C400G:p.Q134E,LCA5L:ENST00000288350.8_6:exon6:c.C400G:p.Q134E</t>
  </si>
  <si>
    <t xml:space="preserve">1.90936191141484e-06</t>
  </si>
  <si>
    <t xml:space="preserve">Leber congenital amaurosis 5-like</t>
  </si>
  <si>
    <t xml:space="preserve">329.64</t>
  </si>
  <si>
    <t xml:space="preserve">9,10</t>
  </si>
  <si>
    <t xml:space="preserve">ZBTB21:NM_001320729:exon2:c.T986C:p.I329T,ZBTB21:NM_020727:exon2:c.T986C:p.I329T,ZBTB21:NM_001098402:exon3:c.T986C:p.I329T,ZBTB21:NM_001098403:exon3:c.T986C:p.I329T,ZBTB21:NM_001320731:exon4:c.T986C:p.I329T;ZBTB21:uc021wjo.1:exon1:c.T986C:p.I329T,ZBTB21:uc002yzy.4:exon2:c.T986C:p.I329T,ZBTB21:uc002yzz.4:exon3:c.T986C:p.I329T,ZBTB21:uc002zab.4:exon3:c.T986C:p.I329T,ZBTB21:uc002zaa.4:exon4:c.T986C:p.I329T,ZBTB21:uc002zac.2:exon4:c.T986C:p.I329T,ZBTB21:uc010gov.1:exon4:c.T986C:p.I329T;ZBTB21:ENST00000398511.3_3:exon2:c.T986C:p.I329T,ZBTB21:ENST00000310826.10_5:exon3:c.T986C:p.I329T,ZBTB21:ENST00000398505.7_3:exon3:c.T986C:p.I329T,ZBTB21:ENST00000398499.5_3:exon4:c.T986C:p.I329T</t>
  </si>
  <si>
    <t xml:space="preserve">0.986130663064607</t>
  </si>
  <si>
    <t xml:space="preserve">zinc finger and BTB domain containing 21</t>
  </si>
  <si>
    <t xml:space="preserve">FUNCTION: Acts as a transcription repressor. {ECO:0000269|PubMed:15629158}.; </t>
  </si>
  <si>
    <t xml:space="preserve">780.64</t>
  </si>
  <si>
    <t xml:space="preserve">23,23</t>
  </si>
  <si>
    <t xml:space="preserve">SLC2A11:NM_001024938:exon9:c.G997A:p.E333K,SLC2A11:NM_001024939:exon9:c.G1006A:p.E336K,SLC2A11:NM_030807:exon10:c.G1018A:p.E340K;SLC2A11:uc002zyn.4:exon9:c.G997A:p.E333K,SLC2A11:uc002zyp.4:exon9:c.G1006A:p.E336K,SLC2A11:uc002zym.4:exon10:c.G1018A:p.E340K;SLC2A11:ENST00000316185.9_4:exon9:c.G1006A:p.E336K,SLC2A11:ENST00000345044.10_5:exon9:c.G997A:p.E333K,SLC2A11:ENST00000398356.6_3:exon10:c.G1018A:p.E340K</t>
  </si>
  <si>
    <t xml:space="preserve">5.45933694484048e-12</t>
  </si>
  <si>
    <t xml:space="preserve">solute carrier family 2 member 11</t>
  </si>
  <si>
    <t xml:space="preserve">FUNCTION: Facilitative glucose transporter. {ECO:0000269|PubMed:12175779}.; </t>
  </si>
  <si>
    <t xml:space="preserve">868.64</t>
  </si>
  <si>
    <t xml:space="preserve">34,27</t>
  </si>
  <si>
    <t xml:space="preserve">LRRC75B:NM_207644:exon4:c.G797A:p.R266Q;FAM211B:uc003aaq.2:exon4:c.G797A:p.R266Q;LRRC75B:ENST00000318753.13_5:exon4:c.G797A:p.R266Q</t>
  </si>
  <si>
    <t xml:space="preserve">leucine rich repeat containing 75B</t>
  </si>
  <si>
    <t xml:space="preserve">417.64</t>
  </si>
  <si>
    <t xml:space="preserve">68,15</t>
  </si>
  <si>
    <t xml:space="preserve">GGT1:NM_001288833:exon12:c.C1063T:p.R355W,GGT1:NM_013430:exon12:c.C1063T:p.R355W,GGT1:NM_013421:exon13:c.C1063T:p.R355W;GGT1:uc003aay.1:exon1:c.C31T:p.R11W,GGT1:uc003aan.1:exon12:c.C1063T:p.R355W,GGT1:uc003aas.1:exon12:c.C1063T:p.R355W,GGT1:uc003aat.1:exon12:c.C1063T:p.R355W,GGT1:uc003aau.2:exon12:c.C1063T:p.R355W,GGT1:uc003aav.2:exon12:c.C1063T:p.R355W,GGT1:uc003aax.2:exon12:c.C1063T:p.R355W,GGT1:uc003aaw.2:exon13:c.C1063T:p.R355W;GGT1:ENST00000403838.5_2:exon1:c.C31T:p.R11W,GGT1:ENST00000404223.5_2:exon1:c.C31T:p.R11W,GGT1:ENST00000404920.1_2:exon1:c.C31T:p.R11W,GGT1:ENST00000401885.5_6:exon2:c.C31T:p.R11W,GGT1:ENST00000404532.5_2:exon2:c.C31T:p.R11W,GGT1:ENST00000400382.6_3:exon12:c.C1063T:p.R355W,GGT1:ENST00000400380.5_2:exon13:c.C1063T:p.R355W</t>
  </si>
  <si>
    <t xml:space="preserve">0.676974716705773</t>
  </si>
  <si>
    <t xml:space="preserve">gamma-glutamyltransferase 1</t>
  </si>
  <si>
    <t xml:space="preserve">FUNCTION: Cleaves the gamma-glutamyl bond of extracellular glutathione (gamma-Glu-Cys-Gly), glutathione conjugates, and other gamma-glutamyl compounds. The metabolism of glutathione releases free glutamate and the dipeptide, cysteinyl-glycine, which is hydrolyzed to cysteine and glycine by dipeptidases. In the presence of high concentrations of dipeptides and some amino acids, can also catalyze a transpeptidation reaction, transferring the gamma-glutamyl moiety to an acceptor amino acid to form a new gamma-glutamyl compound. Initiates extracellular glutathione (GSH) breakdown, provides cells with a local cysteine supply and contributes to maintain intracellular GSH level. It is part of the cell antioxidant defense mechanism. Isoform 3 seems to be inactive. {ECO:0000269|PubMed:20622017, ECO:0000269|PubMed:24047895, ECO:0000269|PubMed:7673200, ECO:0000269|PubMed:7759490, ECO:0000269|PubMed:8095045, ECO:0000269|PubMed:8827453}.; </t>
  </si>
  <si>
    <t xml:space="preserve">DISEASE: Glutathionuria (GLUTH) [MIM:231950]: Autosomal recessive disease. Note=The disease is caused by mutations affecting the gene represented in this entry.; </t>
  </si>
  <si>
    <t xml:space="preserve">471.64</t>
  </si>
  <si>
    <t xml:space="preserve">78,17</t>
  </si>
  <si>
    <t xml:space="preserve">GGT1:NM_001288833:exon12:c.C1093A:p.P365T,GGT1:NM_013430:exon12:c.C1093A:p.P365T,GGT1:NM_013421:exon13:c.C1093A:p.P365T;GGT1:uc003aay.1:exon1:c.C61A:p.P21T,GGT1:uc003aan.1:exon12:c.C1093A:p.P365T,GGT1:uc003aas.1:exon12:c.C1093A:p.P365T,GGT1:uc003aat.1:exon12:c.C1093A:p.P365T,GGT1:uc003aau.2:exon12:c.C1093A:p.P365T,GGT1:uc003aav.2:exon12:c.C1093A:p.P365T,GGT1:uc003aax.2:exon12:c.C1093A:p.P365T,GGT1:uc003aaw.2:exon13:c.C1093A:p.P365T;GGT1:ENST00000403838.5_2:exon1:c.C61A:p.P21T,GGT1:ENST00000404223.5_2:exon1:c.C61A:p.P21T,GGT1:ENST00000404920.1_2:exon1:c.C61A:p.P21T,GGT1:ENST00000401885.5_6:exon2:c.C61A:p.P21T,GGT1:ENST00000404532.5_2:exon2:c.C61A:p.P21T,GGT1:ENST00000400382.6_3:exon12:c.C1093A:p.P365T,GGT1:ENST00000400380.5_2:exon13:c.C1093A:p.P365T</t>
  </si>
  <si>
    <t xml:space="preserve">183.64</t>
  </si>
  <si>
    <t xml:space="preserve">86</t>
  </si>
  <si>
    <t xml:space="preserve">76,10</t>
  </si>
  <si>
    <t xml:space="preserve">GGT1:NM_001288833:exon12:c.G1159A:p.V387I,GGT1:NM_013430:exon12:c.G1159A:p.V387I,GGT1:NM_013421:exon13:c.G1159A:p.V387I;GGT1:uc003aay.1:exon1:c.G127A:p.V43I,GGT1:uc003aan.1:exon12:c.G1159A:p.V387I,GGT1:uc003aas.1:exon12:c.G1159A:p.V387I,GGT1:uc003aat.1:exon12:c.G1159A:p.V387I,GGT1:uc003aau.2:exon12:c.G1159A:p.V387I,GGT1:uc003aav.2:exon12:c.G1159A:p.V387I,GGT1:uc003aax.2:exon12:c.G1159A:p.V387I,GGT1:uc003aaw.2:exon13:c.G1159A:p.V387I;GGT1:ENST00000403838.5_2:exon1:c.G127A:p.V43I,GGT1:ENST00000404223.5_2:exon1:c.G127A:p.V43I,GGT1:ENST00000404920.1_2:exon1:c.G127A:p.V43I,GGT1:ENST00000401885.5_6:exon2:c.G127A:p.V43I,GGT1:ENST00000404532.5_2:exon2:c.G127A:p.V43I,GGT1:ENST00000400382.6_3:exon12:c.G1159A:p.V387I,GGT1:ENST00000400380.5_2:exon13:c.G1159A:p.V387I</t>
  </si>
  <si>
    <t xml:space="preserve">186.64</t>
  </si>
  <si>
    <t xml:space="preserve">75,10</t>
  </si>
  <si>
    <t xml:space="preserve">GGT1:NM_001288833:exon12:c.G1162A:p.A388T,GGT1:NM_013430:exon12:c.G1162A:p.A388T,GGT1:NM_013421:exon13:c.G1162A:p.A388T;GGT1:uc003aay.1:exon1:c.G130A:p.A44T,GGT1:uc003aan.1:exon12:c.G1162A:p.A388T,GGT1:uc003aas.1:exon12:c.G1162A:p.A388T,GGT1:uc003aat.1:exon12:c.G1162A:p.A388T,GGT1:uc003aau.2:exon12:c.G1162A:p.A388T,GGT1:uc003aav.2:exon12:c.G1162A:p.A388T,GGT1:uc003aax.2:exon12:c.G1162A:p.A388T,GGT1:uc003aaw.2:exon13:c.G1162A:p.A388T;GGT1:ENST00000403838.5_2:exon1:c.G130A:p.A44T,GGT1:ENST00000404223.5_2:exon1:c.G130A:p.A44T,GGT1:ENST00000404920.1_2:exon1:c.G130A:p.A44T,GGT1:ENST00000401885.5_6:exon2:c.G130A:p.A44T,GGT1:ENST00000404532.5_2:exon2:c.G130A:p.A44T,GGT1:ENST00000400382.6_3:exon12:c.G1162A:p.A388T,GGT1:ENST00000400380.5_2:exon13:c.G1162A:p.A388T</t>
  </si>
  <si>
    <t xml:space="preserve">74,14</t>
  </si>
  <si>
    <t xml:space="preserve">GGT1:NM_001288833:exon14:c.G1361T:p.C454F,GGT1:NM_013430:exon14:c.G1361T:p.C454F,GGT1:NM_013421:exon15:c.G1361T:p.C454F;GGT1:uc003aay.1:exon3:c.G329T:p.C110F,GGT1:uc003aan.1:exon14:c.G1361T:p.C454F,GGT1:uc003aas.1:exon14:c.G1361T:p.C454F,GGT1:uc003aat.1:exon14:c.G1361T:p.C454F,GGT1:uc003aau.2:exon14:c.G1361T:p.C454F,GGT1:uc003aav.2:exon14:c.G1361T:p.C454F,GGT1:uc003aax.2:exon14:c.G1361T:p.C454F,GGT1:uc003aaw.2:exon15:c.G1361T:p.C454F;GGT1:ENST00000403838.5_2:exon3:c.G329T:p.C110F,GGT1:ENST00000404223.5_2:exon3:c.G329T:p.C110F,GGT1:ENST00000404920.1_2:exon3:c.G329T:p.C110F,GGT1:ENST00000401885.5_6:exon4:c.G329T:p.C110F,GGT1:ENST00000404532.5_2:exon4:c.G329T:p.C110F,GGT1:ENST00000400382.6_3:exon14:c.G1361T:p.C454F,GGT1:ENST00000400380.5_2:exon15:c.G1361T:p.C454F</t>
  </si>
  <si>
    <t xml:space="preserve">GRK3:NM_005160:exon2:c.G122A:p.S41N;ADRBK2:uc003abx.4:exon2:c.G122A:p.S41N,ADRBK2:uc010gux.3:exon2:c.G122A:p.S41N;GRK3:ENST00000324198.11_3:exon2:c.G122A:p.S41N</t>
  </si>
  <si>
    <t xml:space="preserve">0.793703982799154</t>
  </si>
  <si>
    <t xml:space="preserve">adrenergic, beta, receptor kinase 2</t>
  </si>
  <si>
    <t xml:space="preserve">FUNCTION: Specifically phosphorylates the agonist-occupied form of the beta-adrenergic and closely related receptors.; </t>
  </si>
  <si>
    <t xml:space="preserve">469.64</t>
  </si>
  <si>
    <t xml:space="preserve">INPP5J:NM_001284285:exon2:c.C870A:p.S290R,INPP5J:NM_001284286:exon3:c.C669A:p.S223R;INPP5J:uc003aju.4:exon2:c.C870A:p.S290R,INPP5J:uc011alk.2:exon3:c.C669A:p.S223R,INPP5J:uc010gwf.3:exon4:c.C870A:p.S290R;INPP5J:ENST00000331075.10_6:exon2:c.C870A:p.S290R,INPP5J:ENST00000412277.6_5:exon3:c.C669A:p.S223R</t>
  </si>
  <si>
    <t xml:space="preserve">6.4309573309253e-12</t>
  </si>
  <si>
    <t xml:space="preserve">inositol polyphosphate-5-phosphatase J</t>
  </si>
  <si>
    <t xml:space="preserve">FUNCTION: Inositol 5-phosphatase, which converts inositol 1,4,5- trisphosphate to inositol 1,4-bisphosphate. Also converts phosphatidylinositol 4,5-bisphosphate to phosphatidylinositol 4- phosphate and inositol 1,3,4,5-tetrakisphosphate to inositol 1,3,4-trisphosphate in vitro. May be involved in modulation of the function of inositol and phosphatidylinositol polyphosphate- binding proteins that are present at membranes ruffles (By similarity). {ECO:0000250}.; </t>
  </si>
  <si>
    <t xml:space="preserve">12,3</t>
  </si>
  <si>
    <t xml:space="preserve">BPIFC:NM_174932:exon14:c.A1379T:p.N460I;BPIFC:uc003amn.2:exon14:c.A1379T:p.N460I,BPIFC:uc010gwo.2:exon14:c.A650T:p.N217I,BPIFC:uc011amb.1:exon14:c.A551T:p.N184I;BPIFC:ENST00000397452.5_3:exon15:c.A1379T:p.N460I,BPIFC:ENST00000300399.9_5:exon16:c.A1379T:p.N460I</t>
  </si>
  <si>
    <t xml:space="preserve">3.12823000785522e-06</t>
  </si>
  <si>
    <t xml:space="preserve">BPI fold containing family C</t>
  </si>
  <si>
    <t xml:space="preserve">342.64</t>
  </si>
  <si>
    <t xml:space="preserve">12,13</t>
  </si>
  <si>
    <t xml:space="preserve">CDC42EP1:NM_152243:exon2:c.G290A:p.R97Q;CDC42EP1:uc003asz.4:exon2:c.G290A:p.R97Q;CDC42EP1:ENST00000249014.5_6:exon2:c.G290A:p.R97Q</t>
  </si>
  <si>
    <t xml:space="preserve">1.05708648523099e-05</t>
  </si>
  <si>
    <t xml:space="preserve">CDC42 effector protein 1</t>
  </si>
  <si>
    <t xml:space="preserve">FUNCTION: Probably involved in the organization of the actin cytoskeleton. Induced membrane extensions in fibroblasts. {ECO:0000269|PubMed:10430899}.; </t>
  </si>
  <si>
    <t xml:space="preserve">1031.64</t>
  </si>
  <si>
    <t xml:space="preserve">36,34</t>
  </si>
  <si>
    <t xml:space="preserve">PARVG:NM_001137605:exon13:c.C833T:p.A278V,PARVG:NM_022141:exon13:c.C833T:p.A278V;PARVG:uc003bep.4:exon13:c.C833T:p.A278V,PARVG:uc011aqe.3:exon13:c.C833T:p.A278V;PARVG:ENST00000422871.5_2:exon13:c.C833T:p.A278V,PARVG:ENST00000444313.8_4:exon13:c.C833T:p.A278V</t>
  </si>
  <si>
    <t xml:space="preserve">0.012022450286735</t>
  </si>
  <si>
    <t xml:space="preserve">parvin gamma</t>
  </si>
  <si>
    <t xml:space="preserve">FUNCTION: Probably plays a role in the regulation of cell adhesion and cytoskeleton organization. {ECO:0000250}.; </t>
  </si>
  <si>
    <t xml:space="preserve">724.64</t>
  </si>
  <si>
    <t xml:space="preserve">16,24</t>
  </si>
  <si>
    <t xml:space="preserve">LRRN1:NM_020873:exon2:c.A367G:p.T123A,LRRN1:NM_001324188:exon3:c.A367G:p.T123A,LRRN1:NM_001324189:exon3:c.A367G:p.T123A;LRRN1:uc021wsh.1:exon1:c.A367G:p.T123A,LRRN1:uc003bpt.4:exon2:c.A367G:p.T123A;LRRN1:ENST00000319331.4_3:exon2:c.A367G:p.T123A</t>
  </si>
  <si>
    <t xml:space="preserve">0.876589036506927</t>
  </si>
  <si>
    <t xml:space="preserve">leucine rich repeat neuronal 1</t>
  </si>
  <si>
    <t xml:space="preserve">1179.64</t>
  </si>
  <si>
    <t xml:space="preserve">59,47</t>
  </si>
  <si>
    <t xml:space="preserve">LIMD1:NM_014240:exon1:c.A727C:p.S243R;LIMD1:uc003coq.3:exon1:c.A727C:p.S243R;LIMD1:ENST00000273317.5_3:exon1:c.A727C:p.S243R,LIMD1:ENST00000440097.5_1:exon1:c.A727C:p.S243R</t>
  </si>
  <si>
    <t xml:space="preserve">0.127770680853122</t>
  </si>
  <si>
    <t xml:space="preserve">LIM domains containing 1</t>
  </si>
  <si>
    <t xml:space="preserve">FUNCTION: Adapter or scaffold protein which participates in the assembly of numerous protein complexes and is involved in several cellular processes such as cell fate determination, cytoskeletal organization, repression of gene transcription, cell-cell adhesion, cell differentiation, proliferation and migration. Positively regulates microRNA (miRNA)-mediated gene silencing and is essential for P-body formation and integrity. Acts as a hypoxic regulator by bridging an association between the prolyl hydroxylases and VHL enabling efficient degradation of HIF1A. Acts as a transcriptional corepressor for SNAI1- and SNAI2/SLUG- dependent repression of E-cadherin transcription. Negatively regulates the Hippo signaling pathway and antagonizes phosphorylation of YAP1. Inhibits E2F-mediated transcription, and suppresses the expression of the majority of genes with E2F1- responsive elements. Regulates osteoblast development, function, differentiation and stress osteoclastogenesis. Enhances the ability of TRAF6 to activate adapter protein complex 1 (AP-1) and negatively regulates the canonical Wnt receptor signaling pathway in osteoblasts. May act as a tumor suppressor by inhibiting cell proliferation. {ECO:0000269|PubMed:15542589, ECO:0000269|PubMed:20303269, ECO:0000269|PubMed:20616046, ECO:0000269|PubMed:21834987, ECO:0000269|PubMed:22286099}.; </t>
  </si>
  <si>
    <t xml:space="preserve">PTPRG:NM_001375471:exon24:c.C3473T:p.S1158F,PTPRG:NM_002841:exon25:c.C3560T:p.S1187F;PTPRG:uc011bfi.2:exon13:c.C1298T:p.S433F,PTPRG:uc003dlc.3:exon24:c.C3473T:p.S1158F,PTPRG:uc003dlb.3:exon25:c.C3560T:p.S1187F;PTPRG:ENST00000295874.14_2:exon24:c.C3473T:p.S1158F,PTPRG:ENST00000474889.6_6:exon25:c.C3560T:p.S1187F</t>
  </si>
  <si>
    <t xml:space="preserve">0.00417657315674374</t>
  </si>
  <si>
    <t xml:space="preserve">protein tyrosine phosphatase, receptor type G</t>
  </si>
  <si>
    <t xml:space="preserve">FUNCTION: Possesses tyrosine phosphatase activity. {ECO:0000269|PubMed:19167335}.; </t>
  </si>
  <si>
    <t xml:space="preserve">PTPRG:NM_001375471:exon24:c.C3478T:p.R1160C,PTPRG:NM_002841:exon25:c.C3565T:p.R1189C;PTPRG:uc011bfi.2:exon13:c.C1303T:p.R435C,PTPRG:uc003dlc.3:exon24:c.C3478T:p.R1160C,PTPRG:uc003dlb.3:exon25:c.C3565T:p.R1189C;PTPRG:ENST00000295874.14_2:exon24:c.C3478T:p.R1160C,PTPRG:ENST00000474889.6_6:exon25:c.C3565T:p.R1189C</t>
  </si>
  <si>
    <t xml:space="preserve">300.64</t>
  </si>
  <si>
    <t xml:space="preserve">3,8</t>
  </si>
  <si>
    <t xml:space="preserve">C3orf38:NM_173824:exon3:c.A498G:p.E166E;C3orf38:uc003dqw.3:exon3:c.A498G:p.E166E;C3orf38:ENST00000486971.1_1:exon3:c.A392G:p.N131S</t>
  </si>
  <si>
    <t xml:space="preserve">0.00699878324708333</t>
  </si>
  <si>
    <t xml:space="preserve">chromosome 3 open reading frame 38</t>
  </si>
  <si>
    <t xml:space="preserve">FUNCTION: May be involved in apoptosis regulation. {ECO:0000269|PubMed:17464193}.; </t>
  </si>
  <si>
    <t xml:space="preserve">1164.64</t>
  </si>
  <si>
    <t xml:space="preserve">26,35</t>
  </si>
  <si>
    <t xml:space="preserve">CCDC191:NM_001353767:exon8:c.C1571T:p.P524L,CCDC191:NM_001353766:exon9:c.C1598T:p.P533L,CCDC191:NM_020817:exon10:c.C1637T:p.P546L;KIAA1407:uc011bio.1:exon8:c.C1571T:p.P524L,KIAA1407:uc011bip.1:exon9:c.C1598T:p.P533L,KIAA1407:uc003eax.3:exon10:c.C1637T:p.P546L;CCDC191:ENST00000295878.8_6:exon10:c.C1637T:p.P546L</t>
  </si>
  <si>
    <t xml:space="preserve">coiled-coil domain containing 191</t>
  </si>
  <si>
    <t xml:space="preserve">368.64</t>
  </si>
  <si>
    <t xml:space="preserve">15,12</t>
  </si>
  <si>
    <t xml:space="preserve">FBXO40:NM_016298:exon4:c.G1928A:p.S643N;FBXO40:uc003eeg.2:exon4:c.G1928A:p.S643N;FBXO40:ENST00000338040.6_3:exon4:c.G1928A:p.S643N</t>
  </si>
  <si>
    <t xml:space="preserve">3.6419894887019e-08</t>
  </si>
  <si>
    <t xml:space="preserve">F-box protein 40</t>
  </si>
  <si>
    <t xml:space="preserve">FUNCTION: Probable substrate-recognition component of the SCF (SKP1-CUL1-F-box protein)-type E3 ubiquitin ligase complex that may function in myogenesis. {ECO:0000250}.; </t>
  </si>
  <si>
    <t xml:space="preserve">286.64</t>
  </si>
  <si>
    <t xml:space="preserve">22,13</t>
  </si>
  <si>
    <t xml:space="preserve">CFAP100:NM_182628:exon5:c.G327C:p.E109D;CCDC37:uc010hsg.1:exon4:c.G327C:p.E109D,CCDC37:uc003eiu.1:exon5:c.G327C:p.E109D;CFAP100:ENST00000505024.1_3:exon4:c.G327C:p.E109D,CFAP100:ENST00000352312.6_8:exon5:c.G327C:p.E109D</t>
  </si>
  <si>
    <t xml:space="preserve">cilia and flagella associated protein 100</t>
  </si>
  <si>
    <t xml:space="preserve">430.64</t>
  </si>
  <si>
    <t xml:space="preserve">16,14</t>
  </si>
  <si>
    <t xml:space="preserve">CDV3:NM_001134422:exon4:c.G520T:p.A174S,CDV3:NM_001134423:exon4:c.G214T:p.A72S,CDV3:NM_001282762:exon4:c.G214T:p.A72S,CDV3:NM_001282763:exon4:c.G214T:p.A72S,CDV3:NM_001282764:exon4:c.G214T:p.A72S,CDV3:NM_001282765:exon4:c.G208T:p.A70S,CDV3:NM_017548:exon4:c.G520T:p.A174S;CDV3:uc003epp.4:exon4:c.G520T:p.A174S,CDV3:uc003epq.3:exon4:c.G520T:p.A174S,CDV3:uc003epr.3:exon4:c.G214T:p.A72S;CDV3:ENST00000264993.8_8:exon4:c.G520T:p.A174S,CDV3:ENST00000420115.6_4:exon4:c.G214T:p.A72S,CDV3:ENST00000431519.6_2:exon4:c.G520T:p.A174S,CDV3:ENST00000508481.5_3:exon4:c.G214T:p.A72S,CDV3:ENST00000511392.5_2:exon4:c.G208T:p.A70S,CDV3:ENST00000515421.1_2:exon4:c.G214T:p.A72S,CDV3:ENST00000688838.1_2:exon4:c.G517T:p.A173S</t>
  </si>
  <si>
    <t xml:space="preserve">0.201907143848833</t>
  </si>
  <si>
    <t xml:space="preserve">CDV3 homolog (mouse)</t>
  </si>
  <si>
    <t xml:space="preserve">685.64</t>
  </si>
  <si>
    <t xml:space="preserve">29,23</t>
  </si>
  <si>
    <t xml:space="preserve">AMOTL2:NM_001278683:exon5:c.G1452C:p.Q484H,AMOTL2:NM_001278685:exon5:c.G1278C:p.Q426H,AMOTL2:NM_001363943:exon5:c.G1278C:p.Q426H,AMOTL2:NM_016201:exon5:c.G1278C:p.Q426H;AMOTL2:uc003eqe.1:exon2:c.G153C:p.Q51H,AMOTL2:uc003eqf.2:exon5:c.G1452C:p.Q484H,AMOTL2:uc003eqg.1:exon5:c.G1278C:p.Q426H,AMOTL2:uc003eqh.1:exon5:c.G1278C:p.Q426H;AMOTL2:ENST00000249883.10_6:exon5:c.G1278C:p.Q426H,AMOTL2:ENST00000422605.6_5:exon5:c.G1278C:p.Q426H,AMOTL2:ENST00000513145.1_6:exon5:c.G1278C:p.Q426H,AMOTL2:ENST00000514516.5_7:exon5:c.G1452C:p.Q484H</t>
  </si>
  <si>
    <t xml:space="preserve">0.207914897262679</t>
  </si>
  <si>
    <t xml:space="preserve">angiomotin like 2</t>
  </si>
  <si>
    <t xml:space="preserve">FUNCTION: Regulates the translocation of phosphorylated SRC to peripheral cell-matrix adhesion sites. Required for proper architecture of actin filaments. Inhibits the Wnt/beta-catenin signaling pathway, probably by recruiting CTNNB1 to recycling endosomes and hence preventing its translocation to the nucleus. Participates in angiogenesis. May play a role in the polarity, proliferation and migration of endothelial cells. Selectively promotes FGF-induced MAPK activation through SRC. {ECO:0000269|PubMed:17293535, ECO:0000269|PubMed:21937427, ECO:0000269|PubMed:22362771}.; </t>
  </si>
  <si>
    <t xml:space="preserve">61.64</t>
  </si>
  <si>
    <t xml:space="preserve">PLS1:NM_001145319:exon16:c.C1774T:p.R592X,PLS1:NM_001172312:exon16:c.C1774T:p.R592X,PLS1:NM_002670:exon16:c.C1774T:p.R592X;PLS1:uc003euz.3:exon16:c.C1774T:p.R592X,PLS1:uc003eva.3:exon16:c.C1774T:p.R592X,PLS1:uc010huv.3:exon16:c.C1774T:p.R592X;PLS1:ENST00000337777.7_1:exon16:c.C1774T:p.R592X,PLS1:ENST00000457734.7_3:exon16:c.C1774T:p.R592X,PLS1:ENST00000497002.1_1:exon16:c.C1774T:p.R592X</t>
  </si>
  <si>
    <t xml:space="preserve">0.000310388416470486</t>
  </si>
  <si>
    <t xml:space="preserve">plastin 1</t>
  </si>
  <si>
    <t xml:space="preserve">FUNCTION: Actin-bundling protein in the absence of calcium.; </t>
  </si>
  <si>
    <t xml:space="preserve">32,35</t>
  </si>
  <si>
    <t xml:space="preserve">PCOLCE2:NM_013363:exon3:c.A232T:p.I78L;PCOLCE2:uc003evd.3:exon3:c.A232T:p.I78L;PCOLCE2:ENST00000295992.8_5:exon3:c.A232T:p.I78L,PCOLCE2:ENST00000485766.1_3:exon3:c.A232T:p.I78L,PCOLCE2:ENST00000648195.1_3:exon3:c.A232T:p.I78L</t>
  </si>
  <si>
    <t xml:space="preserve">6.87765105520563e-07</t>
  </si>
  <si>
    <t xml:space="preserve">procollagen C-endopeptidase enhancer 2</t>
  </si>
  <si>
    <t xml:space="preserve">FUNCTION: Binds to the C-terminal propeptide of types I and II procollagens and may enhance the cleavage of that propeptide by BMP1. {ECO:0000269|PubMed:12393877}.; </t>
  </si>
  <si>
    <t xml:space="preserve">408.64</t>
  </si>
  <si>
    <t xml:space="preserve">19,15</t>
  </si>
  <si>
    <t xml:space="preserve">SH3TC1:NM_001318480:exon5:c.C250T:p.L84F,SH3TC1:NM_018986:exon5:c.C478T:p.L160F;SH3TC1:uc003gkv.4:exon5:c.C478T:p.L160F,SH3TC1:uc003gkw.4:exon5:c.C250T:p.L84F;SH3TC1:ENST00000508641.2_2:exon4:c.C250T:p.L84F,SH3TC1:ENST00000684698.1_1:exon4:c.C478T:p.L160F,SH3TC1:ENST00000245105.8_3:exon5:c.C478T:p.L160F,SH3TC1:ENST00000457650.7_4:exon6:c.C478T:p.L160F</t>
  </si>
  <si>
    <t xml:space="preserve">1.08196254711814e-27</t>
  </si>
  <si>
    <t xml:space="preserve">SH3 domain and tetratricopeptide repeats 1</t>
  </si>
  <si>
    <t xml:space="preserve">TEC:NM_003215:exon9:c.G788A:p.S263N;TEC:uc003gxz.3:exon9:c.G788A:p.S263N;TEC:ENST00000381501.8_5:exon9:c.G788A:p.S263N</t>
  </si>
  <si>
    <t xml:space="preserve">0.00257331126911319</t>
  </si>
  <si>
    <t xml:space="preserve">tec protein tyrosine kinase</t>
  </si>
  <si>
    <t xml:space="preserve">FUNCTION: Non-receptor tyrosine kinase that contributes to signaling from many receptors and participates as a signal transducer in multiple downstream pathways, including regulation of the actin cytoskeleton. Plays a redundant role to ITK in regulation of the adaptive immune response. Regulates the development, function and differentiation of conventional T-cells and nonconventional NKT-cells. Required for TCR-dependent IL2 gene induction. Phosphorylates DOK1, one CD28-specific substrate, and contributes to CD28-signaling. Mediates signals that negatively regulate IL2RA expression induced by TCR cross-linking. Plays a redundant role to BTK in BCR-signaling for B-cell development and activation, especially by phosphorylating STAP1, a BCR-signaling protein. Required in mast cells for efficient cytokine production. Involved in both growth and differentiation mechanisms of myeloid cells through activation by the granulocyte colony-stimulating factor CSF3, a critical cytokine to promoting the growth, differentiation, and functional activation of myeloid cells. Participates in platelet signaling downstream of integrin activation. Cooperates with JAK2 through reciprocal phosphorylation to mediate cytokine-driven activation of FOS transcription. GRB10, a negative modifier of the FOS activation pathway, is another substrate of TEC. TEC is involved in G protein-coupled receptor- and integrin-mediated signalings in blood platelets. Plays a role in hepatocyte proliferation and liver regeneration and is involved in HGF-induced ERK signaling pathway. TEC regulates also FGF2 unconventional secretion (endoplasmic reticulum (ER)/Golgi-independent mechanism) under various physiological conditions through phosphorylation of FGF2 'Tyr-215'. May also be involved in the regulation of osteoclast differentiation. {ECO:0000269|PubMed:10518561, ECO:0000269|PubMed:19883687, ECO:0000269|PubMed:20230531, ECO:0000269|PubMed:9753425}.; </t>
  </si>
  <si>
    <t xml:space="preserve">49.64</t>
  </si>
  <si>
    <t xml:space="preserve">UGT2B10:NM_001075:exon6:c.A1579G:p.R527G,UGT2B10:NM_001144767:exon6:c.A1327G:p.R443G,UGT2B10:NM_001290091:exon6:c.A835G:p.R279G;UGT2B10:uc003hee.3:exon6:c.A1579G:p.R527G,UGT2B10:uc011cam.2:exon6:c.A1327G:p.R443G;UGT2B10:ENST00000265403.12_3:exon6:c.A1579G:p.R527G,UGT2B10:ENST00000458688.2_1:exon6:c.A1327G:p.R443G</t>
  </si>
  <si>
    <t xml:space="preserve">5.50615564451229e-15</t>
  </si>
  <si>
    <t xml:space="preserve">UDP glucuronosyltransferase family 2 member B10</t>
  </si>
  <si>
    <t xml:space="preserve">FUNCTION: UDPGT is of major importance in the conjugation and subsequent elimination of potentially toxic xenobiotics and endogenous compounds.; </t>
  </si>
  <si>
    <t xml:space="preserve">UGT2B17</t>
  </si>
  <si>
    <t xml:space="preserve">848.64</t>
  </si>
  <si>
    <t xml:space="preserve">24,27</t>
  </si>
  <si>
    <t xml:space="preserve">UGT2B10:NM_001290091:exon7:c.C628T:p.R210X;UGT2B10:uc011can.1:exon8:c.C988T:p.R330X,UGT2B10:uc011cao.1:exon8:c.C1240T:p.R414X;dist=53267;dist=91403</t>
  </si>
  <si>
    <t xml:space="preserve">187.64</t>
  </si>
  <si>
    <t xml:space="preserve">8,7</t>
  </si>
  <si>
    <t xml:space="preserve">MOB1B:NM_001244767:exon2:c.A47C:p.K16T,MOB1B:NM_173468:exon2:c.A47C:p.K16T,MOB1B:NM_001244766:exon3:c.A62C:p.K21T;MOB1B:uc003hfv.2:exon2:c.A47C:p.K16T,MOB1B:uc003hfw.3:exon2:c.A47C:p.K16T,MOB1B:uc011cba.2:exon3:c.A62C:p.K21T;MOB1B:ENST00000309395.7_3:exon2:c.A47C:p.K16T,MOB1B:ENST00000396051.2_1:exon3:c.A62C:p.K21T</t>
  </si>
  <si>
    <t xml:space="preserve">0.00797371498062726</t>
  </si>
  <si>
    <t xml:space="preserve">MOB kinase activator 1B</t>
  </si>
  <si>
    <t xml:space="preserve">FUNCTION: Activator of LATS1/2 in the Hippo signaling pathway which plays a pivotal role in organ size control and tumor suppression by restricting proliferation and promoting apoptosis. The core of this pathway is composed of a kinase cascade wherein STK3/MST2 and STK4/MST1, in complex with its regulatory protein SAV1, phosphorylates and activates LATS1/2 in complex with its regulatory protein MOB1, which in turn phosphorylates and inactivates YAP1 oncoprotein and WWTR1/TAZ. Phosphorylation of YAP1 by LATS1/2 inhibits its translocation into the nucleus to regulate cellular genes important for cell proliferation, cell death, and cell migration. Stimulates the kinase activity of STK38L. {ECO:0000269|PubMed:15067004, ECO:0000269|PubMed:19739119}.; </t>
  </si>
  <si>
    <t xml:space="preserve">ANK2:NM_001148:exon38:c.G9127T:p.D3043Y;ANK2:uc003ibe.4:exon38:c.G9127T:p.D3043Y,ANK2:uc011cgb.1:exon39:c.G9172T:p.D3058Y;ANK2:ENST00000672251.1_3:exon36:c.G8929T:p.D2977Y,ANK2:ENST00000673109.1_3:exon36:c.G8842T:p.D2948Y,ANK2:ENST00000264366.10_5:exon37:c.G9028T:p.D3010Y,ANK2:ENST00000671906.1_3:exon37:c.G8941T:p.D2981Y,ANK2:ENST00000672502.1_3:exon37:c.G9028T:p.D3010Y,ANK2:ENST00000672934.1_4:exon37:c.G8866T:p.D2956Y,ANK2:ENST00000673363.1_3:exon37:c.G9073T:p.D3025Y,ANK2:ENST00000357077.9_8:exon38:c.G9127T:p.D3043Y,ANK2:ENST00000503423.6_6:exon38:c.G8965T:p.D2989Y,ANK2:ENST00000671971.1_2:exon38:c.G9172T:p.D3058Y,ANK2:ENST00000672068.1_3:exon38:c.G8965T:p.D2989Y,ANK2:ENST00000672090.1_3:exon38:c.G8965T:p.D2989Y,ANK2:ENST00000672209.1_3:exon38:c.G8965T:p.D2989Y,ANK2:ENST00000672930.1_3:exon38:c.G8965T:p.D2989Y,ANK2:ENST00000673298.1_3:exon38:c.G8965T:p.D2989Y,ANK2:ENST00000673334.1_3:exon38:c.G8965T:p.D2989Y,ANK2:ENST00000673555.1_3:exon38:c.G8965T:p.D2989Y,ANK2:ENST00000673573.1_3:exon38:c.G8902T:p.D2968Y,ANK2:ENST00000671809.1_3:exon39:c.G9001T:p.D3001Y,ANK2:ENST00000672240.1_7:exon39:c.G9208T:p.D3070Y,ANK2:ENST00000672830.1_2:exon39:c.G9064T:p.D3022Y</t>
  </si>
  <si>
    <t xml:space="preserve">0.999999999999808</t>
  </si>
  <si>
    <t xml:space="preserve">ankyrin 2, neuronal</t>
  </si>
  <si>
    <t xml:space="preserve">FUNCTION: In skeletal muscle, required for proper localization of DMD and DCTN4 and for the formation and/or stability of a special subset of microtubules associated with costameres and neuromuscular junctions (By similarity). Attaches integral membrane proteins to cytoskeletal elements. Also binds to cytoskeletal proteins. Required for coordinate assembly of Na/Ca exchanger, Na/K ATPase and InsP3 receptor at sarcoplasmic reticulum sites in cardiomyocytes. Required for the coordinated expression of the Na/K ATPase, Na/Ca exchanger and beta-2-spectrin (SPTBN1) in the inner segment of rod photoreceptors. Required for expression and targeting of SPTBN1 in neonatal cardiomyocytes and for the regulation of neonatal cardiomyocyte contraction rate. {ECO:0000250, ECO:0000269|PubMed:12571597}.; </t>
  </si>
  <si>
    <t xml:space="preserve">DISEASE: Long QT syndrome 4 (LQT4) [MIM:600919]: A heart disorder characterized by a prolonged QT interval on the ECG and polymorphic ventricular arrhythmias. They cause syncope and sudden death in response to exercise or emotional stress, and can present with a sentinel event of sudden cardiac death in infancy. Long QT syndrome type 4 shows many atypical features compared to classical long QT syndromes, including pronounced sinus bradycardia, polyphasic T waves and atrial fibrillation. Cardiac repolarization defects may be not as severe as in classical LQT syndromes and prolonged QT interval on EKG is not a consistent feature. {ECO:0000269|PubMed:12571597, ECO:0000269|PubMed:15178757}. Note=The disease is caused by mutations affecting the gene represented in this entry.; </t>
  </si>
  <si>
    <t xml:space="preserve">379.64</t>
  </si>
  <si>
    <t xml:space="preserve">SH3D19:NM_001128924:exon4:c.G1000A:p.D334N,SH3D19:NM_001378128:exon10:c.G1108A:p.D370N,SH3D19:NM_001378131:exon10:c.G1108A:p.D370N,SH3D19:NM_001009555:exon11:c.G1108A:p.D370N,SH3D19:NM_001128923:exon11:c.G1108A:p.D370N,SH3D19:NM_001243349:exon11:c.G1108A:p.D370N,SH3D19:NM_001378121:exon11:c.G1948A:p.D650N,SH3D19:NM_001378122:exon11:c.G1948A:p.D650N,SH3D19:NM_001378126:exon11:c.G1108A:p.D370N,SH3D19:NM_001378127:exon11:c.G1108A:p.D370N,SH3D19:NM_001378130:exon11:c.G1108A:p.D370N,SH3D19:NM_001378124:exon12:c.G1771A:p.D591N,SH3D19:NM_001378129:exon12:c.G1108A:p.D370N,SH3D19:NM_001378123:exon13:c.G1771A:p.D591N;SH3D19:uc003imb.2:exon4:c.G442A:p.D148N,SH3D19:uc003imc.2:exon4:c.G1000A:p.D334N,SH3D19:uc003ime.2:exon11:c.G1108A:p.D370N,SH3D19:uc010ipl.1:exon11:c.G1108A:p.D370N,SH3D19:uc010ipm.2:exon11:c.G1108A:p.D370N;SH3D19:ENST00000427414.2_5:exon4:c.G1000A:p.D334N,SH3D19:ENST00000409252.6_8:exon10:c.G1108A:p.D370N,SH3D19:ENST00000304527.8_8:exon11:c.G1108A:p.D370N,SH3D19:ENST00000409598.8_5:exon11:c.G1108A:p.D370N,SH3D19:ENST00000514152.5_5:exon11:c.G1108A:p.D370N,SH3D19:ENST00000604030.7_6:exon11:c.G1948A:p.D650N,SH3D19:ENST00000652233.1_6:exon13:c.G1771A:p.D591N</t>
  </si>
  <si>
    <t xml:space="preserve">0.3750873860445</t>
  </si>
  <si>
    <t xml:space="preserve">SH3 domain containing 19</t>
  </si>
  <si>
    <t xml:space="preserve">FUNCTION: May play a role in regulating A disintegrin and metalloproteases (ADAMs) in the signaling of EGFR-ligand shedding. May be involved in suppression of Ras-induced cellular transformation and Ras-mediated activation of ELK1. Plays a role in the regulation of cell morphology and cytoskeletal organization. {ECO:0000269|PubMed:14551139, ECO:0000269|PubMed:15280379, ECO:0000269|PubMed:21834987}.; </t>
  </si>
  <si>
    <t xml:space="preserve">LIFR:NM_001127671:exon2:c.G6A:p.M2I,LIFR:NM_001364297:exon2:c.G6A:p.M2I,LIFR:NM_001364298:exon2:c.G6A:p.M2I,LIFR:NM_002310:exon2:c.G6A:p.M2I;LIFR:uc003jli.2:exon2:c.G6A:p.M2I,LIFR:uc010ive.1:exon2:c.G6A:p.M2I;LIFR:ENST00000263409.8_3:exon2:c.G6A:p.M2I,LIFR:ENST00000453190.7_5:exon2:c.G6A:p.M2I</t>
  </si>
  <si>
    <t xml:space="preserve">0.00100684330037545</t>
  </si>
  <si>
    <t xml:space="preserve">leukemia inhibitory factor receptor alpha</t>
  </si>
  <si>
    <t xml:space="preserve">FUNCTION: Signal-transducing molecule. May have a common pathway with IL6ST. The soluble form inhibits the biological activity of LIF by blocking its binding to receptors on target cells.; </t>
  </si>
  <si>
    <t xml:space="preserve">DISEASE: Stueve-Wiedemann syndrome (STWS) [MIM:601559]: Severe autosomal recessive condition and belongs to the group of the bent-bone dysplasias. SWS is characterized by bowing of the lower limbs, with internal cortical thickening, wide metaphyses with abnormal trabecular pattern, and camptodactyly. Additional features include feeding and swallowing difficulties, as well as respiratory distress and hyperthermic episodes, which cause death in the first months of life. The rare survivors develop progressive scoliosis, spontaneous fractures, bowing of the lower limbs, with prominent joints and dysautonomia symptoms, including temperature instability, absent corneal and patellar reflexes, and smooth tongue. {ECO:0000269|PubMed:14740318}. Note=The disease is caused by mutations affecting the gene represented in this entry.; DISEASE: Note=A chromosomal aberration involving LIFR is found in salivary gland pleiomorphic adenomas, the most common benign epithelial tumors of the salivary gland. Translocation t(5;8)(p13;q12) with PLAG1.; </t>
  </si>
  <si>
    <t xml:space="preserve">921.64</t>
  </si>
  <si>
    <t xml:space="preserve">36,32</t>
  </si>
  <si>
    <t xml:space="preserve">THBS4:NM_001306214:exon12:c.G1282A:p.E428K,THBS4:NM_003248:exon12:c.G1555A:p.E519K,THBS4:NM_001306212:exon13:c.G1282A:p.E428K,THBS4:NM_001306213:exon13:c.G1282A:p.E428K;THBS4:uc021yaw.1:exon12:c.G1555A:p.E519K;THBS4:ENST00000350881.6_4:exon12:c.G1555A:p.E519K,THBS4:ENST00000511733.1_2:exon12:c.G1282A:p.E428K</t>
  </si>
  <si>
    <t xml:space="preserve">1.74208249337707e-08</t>
  </si>
  <si>
    <t xml:space="preserve">thrombospondin 4</t>
  </si>
  <si>
    <t xml:space="preserve">FUNCTION: Adhesive glycoprotein that mediates cell-to-cell and cell-to-matrix interactions and is involved in various processes including cellular proliferation, migration, adhesion and attachment, inflammatory response to CNS injury, regulation of vascular inflammation and adaptive responses of the heart to pressure overload and in myocardial function and remodeling. Binds to structural extracellular matrix (ECM) proteins and modulates the ECM in response to tissue damage, contributing to cardioprotective and adaptive ECM remodeling. Plays a role in ER stress response, via its interaction with the activating transcription factor 6 alpha (ATF6) which produces adaptive ER stress response factors and protects myocardium from pressure overload. May contribute to spinal presynaptic hypersensitivity and neuropathic pain states after peripheral nerve injury. May play a role in regulating protective astrogenesis from the subventricular zone (SVZ) niche after injury in a NOTCH1-dependent manner (By similarity). {ECO:0000250, ECO:0000269|PubMed:19441079}.; </t>
  </si>
  <si>
    <t xml:space="preserve">EDIL3:NM_001278642:exon6:c.G686A:p.S229N,EDIL3:NM_005711:exon7:c.G716A:p.S239N;EDIL3:uc011ctt.1:exon2:c.G47A:p.S16N,EDIL3:uc003kip.1:exon6:c.G686A:p.S229N,EDIL3:uc003kio.1:exon7:c.G716A:p.S239N;EDIL3:ENST00000380138.3_5:exon6:c.G686A:p.S229N,EDIL3:ENST00000296591.10_8:exon7:c.G716A:p.S239N</t>
  </si>
  <si>
    <t xml:space="preserve">4.08771487713601e-05</t>
  </si>
  <si>
    <t xml:space="preserve">EGF like repeats and discoidin domains 3</t>
  </si>
  <si>
    <t xml:space="preserve">FUNCTION: Promotes adhesion of endothelial cells through interaction with the alpha-v/beta-3 integrin receptor. Inhibits formation of vascular-like structures. May be involved in regulation of vascular morphogenesis of remodeling in embryonic development.; </t>
  </si>
  <si>
    <t xml:space="preserve">CETN3:NM_001297765:exon4:c.T284C:p.L95S,CETN3:NM_001297768:exon4:c.T284C:p.L95S,CETN3:NM_004365:exon4:c.T284C:p.L95S;CETN3:uc003kjo.3:exon4:c.T284C:p.L95S;CETN3:ENST00000283122.8_4:exon4:c.T284C:p.L95S,CETN3:ENST00000522083.5_3:exon4:c.T284C:p.L95S,CETN3:ENST00000522565.5_3:exon4:c.T284C:p.L95S,CETN3:ENST00000522864.5_3:exon4:c.T284C:p.L95S</t>
  </si>
  <si>
    <t xml:space="preserve">0.0113207798625902</t>
  </si>
  <si>
    <t xml:space="preserve">centrin 3</t>
  </si>
  <si>
    <t xml:space="preserve">FUNCTION: Plays a fundamental role in microtubule-organizing center structure and function.; </t>
  </si>
  <si>
    <t xml:space="preserve">855.64</t>
  </si>
  <si>
    <t xml:space="preserve">44,30</t>
  </si>
  <si>
    <t xml:space="preserve">FSTL4:NM_015082:exon16:c.C2351T:p.P784L;FSTL4:uc003kym.1:exon8:c.C1298T:p.P433L,FSTL4:uc003kyn.1:exon16:c.C2351T:p.P784L;FSTL4:ENST00000621681.4_3:exon13:c.C1844T:p.P615L,FSTL4:ENST00000265342.12_5:exon16:c.C2351T:p.P784L</t>
  </si>
  <si>
    <t xml:space="preserve">0.981626121203096</t>
  </si>
  <si>
    <t xml:space="preserve">follistatin like 4</t>
  </si>
  <si>
    <t xml:space="preserve">1658.64</t>
  </si>
  <si>
    <t xml:space="preserve">122</t>
  </si>
  <si>
    <t xml:space="preserve">65,57</t>
  </si>
  <si>
    <t xml:space="preserve">PCDHB6:NM_018939:exon1:c.G1261A:p.V421I,PCDHB6:NM_001303145:exon2:c.G853A:p.V285I;PCDHB6:uc003lir.3:exon1:c.G1261A:p.V421I;PCDHB6:ENST00000231136.4_3:exon1:c.G1261A:p.V421I,PCDHB6:ENST00000622991.1_1:exon2:c.G853A:p.V285I</t>
  </si>
  <si>
    <t xml:space="preserve">0.00172664093496475</t>
  </si>
  <si>
    <t xml:space="preserve">protocadherin beta 6</t>
  </si>
  <si>
    <t xml:space="preserve">FUNCTION: Potential calcium-dependent cell-adhesion protein. May be involved in the establishment and maintenance of specific neuronal connections in the brain.; </t>
  </si>
  <si>
    <t xml:space="preserve">cluster</t>
  </si>
  <si>
    <t xml:space="preserve">1293.64</t>
  </si>
  <si>
    <t xml:space="preserve">39,43</t>
  </si>
  <si>
    <t xml:space="preserve">PCDHGA6:NM_018919:exon1:c.G1936A:p.V646I,PCDHGA6:NM_032086:exon1:c.G1936A:p.V646I;PCDHGA6:uc003ljy.2:exon1:c.G1936A:p.V646I,PCDHGA6:uc011dau.2:exon1:c.G1936A:p.V646I;PCDHGA6:ENST00000517434.3_6:exon1:c.G1936A:p.V646I,PCDHGA6:ENST00000610583.1_5:exon1:c.G1936A:p.V646I</t>
  </si>
  <si>
    <t xml:space="preserve">8.20064599747487e-07</t>
  </si>
  <si>
    <t xml:space="preserve">protocadherin gamma subfamily A, 6</t>
  </si>
  <si>
    <t xml:space="preserve">1013.64</t>
  </si>
  <si>
    <t xml:space="preserve">138</t>
  </si>
  <si>
    <t xml:space="preserve">98,40</t>
  </si>
  <si>
    <t xml:space="preserve">PCDHGA11:NM_018914:exon1:c.G1672C:p.D558H,PCDHGA11:NM_032091:exon1:c.G1672C:p.D558H,PCDHGA11:NM_032092:exon1:c.G1672C:p.D558H;PCDHGA11:uc003lko.1:exon1:c.G1672C:p.D558H,PCDHGA11:uc003lkp.2:exon1:c.G1672C:p.D558H,PCDHGA11:uc003lkq.2:exon1:c.G1672C:p.D558H;PCDHGA11:ENST00000398587.7_4:exon1:c.G1672C:p.D558H,PCDHGA11:ENST00000518882.2_4:exon1:c.G1672C:p.D558H,PCDHGA11:ENST00000622044.1_3:exon1:c.G1672C:p.D558H</t>
  </si>
  <si>
    <t xml:space="preserve">4.54527989298976e-05</t>
  </si>
  <si>
    <t xml:space="preserve">protocadherin gamma subfamily A, 11</t>
  </si>
  <si>
    <t xml:space="preserve">1045.64</t>
  </si>
  <si>
    <t xml:space="preserve">37,34</t>
  </si>
  <si>
    <t xml:space="preserve">KCTD16:NM_001370486:exon2:c.G478A:p.D160N,KCTD16:NM_001370487:exon2:c.G478A:p.D160N,KCTD16:NM_020768:exon3:c.G478A:p.D160N;KCTD16:uc003lnn.1:exon2:c.G478A:p.D160N,KCTD16:uc003lnm.1:exon3:c.G478A:p.D160N;KCTD16:ENST00000507359.3_1:exon2:c.G478A:p.D160N,KCTD16:ENST00000512467.6_3:exon3:c.G478A:p.D160N</t>
  </si>
  <si>
    <t xml:space="preserve">0.959972607609424</t>
  </si>
  <si>
    <t xml:space="preserve">potassium channel tetramerization domain containing 16</t>
  </si>
  <si>
    <t xml:space="preserve">FUNCTION: Auxiliary subunit of GABA-B receptors that determine the pharmacology and kinetics of the receptor response. Increases agonist potency and markedly alter the G-protein signaling of the receptors by accelerating onset and promoting desensitization (By similarity). {ECO:0000250}.; </t>
  </si>
  <si>
    <t xml:space="preserve">239.64</t>
  </si>
  <si>
    <t xml:space="preserve">PPP2R2B:NM_181676:exon2:c.A159G:p.I53M,PPP2R2B:NM_001271899:exon3:c.A168G:p.I56M,PPP2R2B:NM_001271948:exon3:c.A117G:p.I39M,PPP2R2B:NM_181674:exon3:c.A348G:p.I116M,PPP2R2B:NM_181675:exon3:c.A150G:p.I50M,PPP2R2B:NM_001271900:exon4:c.A324G:p.I108M,PPP2R2B:NM_181677:exon4:c.A90G:p.I30M,PPP2R2B:NM_181678:exon4:c.A117G:p.I39M;PPP2R2B:uc003loe.4:exon2:c.A150G:p.I50M,PPP2R2B:uc003loi.5:exon2:c.A159G:p.I53M,PPP2R2B:uc003lof.5:exon3:c.A150G:p.I50M,PPP2R2B:uc003log.5:exon3:c.A468G:p.I156M,PPP2R2B:uc003loh.5:exon3:c.A348G:p.I116M,PPP2R2B:uc010jgm.4:exon3:c.A117G:p.I39M,PPP2R2B:uc011dbu.3:exon3:c.A168G:p.I56M,PPP2R2B:uc003loj.5:exon4:c.A90G:p.I30M,PPP2R2B:uc003lok.5:exon4:c.A117G:p.I39M,PPP2R2B:uc011dbv.3:exon4:c.A324G:p.I108M;PPP2R2B:ENST00000336640.10_9:exon2:c.A159G:p.I53M,PPP2R2B:ENST00000394409.7_7:exon2:c.A150G:p.I50M,PPP2R2B:ENST00000394411.9_8:exon3:c.A150G:p.I50M,PPP2R2B:ENST00000394414.5_3:exon3:c.A348G:p.I116M,PPP2R2B:ENST00000453001.5_4:exon3:c.A117G:p.I39M,PPP2R2B:ENST00000504198.5_6:exon3:c.A168G:p.I56M,PPP2R2B:ENST00000508545.6_4:exon3:c.A117G:p.I39M,PPP2R2B:ENST00000394413.7_5:exon4:c.A324G:p.I108M</t>
  </si>
  <si>
    <t xml:space="preserve">0.900682516546481</t>
  </si>
  <si>
    <t xml:space="preserve">protein phosphatase 2 regulatory subunit B, beta</t>
  </si>
  <si>
    <t xml:space="preserve">FUNCTION: The B regulatory subunit might modulate substrate selectivity and catalytic activity, and also might direct the localization of the catalytic enzyme to a particular subcellular compartment. Within the PP2A holoenzyme complex, isoform 2 is required to promote proapoptotic activity (By similarity). Isoform 2 regulates neuronal survival through the mitochondrial fission and fusion balance (By similarity). {ECO:0000250}.; </t>
  </si>
  <si>
    <t xml:space="preserve">DISEASE: Spinocerebellar ataxia 12 (SCA12) [MIM:604326]: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SCA12 is an autosomal dominant cerebellar ataxia (ADCA). {ECO:0000269|PubMed:10581021}. Note=The disease is caused by mutations affecting the gene represented in this entry.; </t>
  </si>
  <si>
    <t xml:space="preserve">705.64</t>
  </si>
  <si>
    <t xml:space="preserve">EIF4E1B:NM_001099408:exon7:c.G440A:p.R147H,EIF4E1B:NM_001375362:exon7:c.G440A:p.R147H;EIF4E1B:uc010jkf.1:exon7:c.G440A:p.R147H;EIF4E1B:ENST00000318682.11_4:exon7:c.G440A:p.R147H,EIF4E1B:ENST00000504597.5_1:exon7:c.G440A:p.R147H,EIF4E1B:ENST00000647833.1_2:exon8:c.G440A:p.R147H</t>
  </si>
  <si>
    <t xml:space="preserve">0.111053691650741</t>
  </si>
  <si>
    <t xml:space="preserve">eukaryotic translation initiation factor 4E family member 1B</t>
  </si>
  <si>
    <t xml:space="preserve">FUNCTION: Recognizes and binds the 7-methylguanosine-containing mRNA cap during an early step in the initiation of protein synthesis and facilitates ribosome binding by inducing the unwinding of the mRNAs secondary structure. {ECO:0000250}.; </t>
  </si>
  <si>
    <t xml:space="preserve">959.64</t>
  </si>
  <si>
    <t xml:space="preserve">36,35</t>
  </si>
  <si>
    <t xml:space="preserve">CCHCR1:NM_001105563:exon9:c.C1351T:p.R451C,CCHCR1:NM_001105564:exon9:c.C1459T:p.R487C,CCHCR1:NM_019052:exon9:c.C1192T:p.R398C;CCHCR1:uc011dne.2:exon8:c.C1192T:p.R398C,CCHCR1:uc003nsp.4:exon9:c.C1459T:p.R487C,CCHCR1:uc003nsq.4:exon9:c.C1351T:p.R451C,CCHCR1:uc003nsr.4:exon9:c.C1192T:p.R398C,CCHCR1:uc010jsk.1:exon9:c.C1192T:p.R398C;CCHCR1:ENST00000376266.9_8:exon9:c.C1192T:p.R398C,CCHCR1:ENST00000396263.6_5:exon9:c.C1192T:p.R398C,CCHCR1:ENST00000396268.8_7:exon9:c.C1459T:p.R487C,CCHCR1:ENST00000451521.6_3:exon9:c.C1351T:p.R451C</t>
  </si>
  <si>
    <t xml:space="preserve">6.50103692455086e-08</t>
  </si>
  <si>
    <t xml:space="preserve">coiled-coil alpha-helical rod protein 1</t>
  </si>
  <si>
    <t xml:space="preserve">FUNCTION: May be a regulator of keratinocyte proliferation or differentiation.; </t>
  </si>
  <si>
    <t xml:space="preserve">1154.64</t>
  </si>
  <si>
    <t xml:space="preserve">48,41</t>
  </si>
  <si>
    <t xml:space="preserve">NOTCH4:NM_004557:exon4:c.G739C:p.G247R;NOTCH4:uc003obb.3:exon4:c.G739C:p.G247R,NOTCH4:uc003obc.3:exon4:c.G739C:p.G247R;NOTCH4:ENST00000375023.3_5:exon4:c.G739C:p.G247R</t>
  </si>
  <si>
    <t xml:space="preserve">1.19532150508521e-10</t>
  </si>
  <si>
    <t xml:space="preserve">notch 4</t>
  </si>
  <si>
    <t xml:space="preserve">FUNCTION: Functions as a receptor for membrane-bound ligands Jagged1, Jagged2 and Delta1 to regulate cell-fate determination. Upon ligand activation through the released notch intracellular domain (NICD) it forms a transcriptional activator complex with RBPJ/RBPSUH and activates genes of the enhancer of split locus. Affects the implementation of differentiation, proliferation and apoptotic programs. May regulate branching morphogenesis in the developing vascular system (By similarity). {ECO:0000250}.; </t>
  </si>
  <si>
    <t xml:space="preserve">MRPS10:NM_018141:exon4:c.T188A:p.V63E;MRPS10:uc003osa.4:exon4:c.T188A:p.V63E,MRPS10:uc011dup.2:exon4:c.T65A:p.V22E;MRPS10:ENST00000053468.4_5:exon4:c.T188A:p.V63E</t>
  </si>
  <si>
    <t xml:space="preserve">0.0282121460745838</t>
  </si>
  <si>
    <t xml:space="preserve">mitochondrial ribosomal protein S10</t>
  </si>
  <si>
    <t xml:space="preserve">1141.64</t>
  </si>
  <si>
    <t xml:space="preserve">23,38</t>
  </si>
  <si>
    <t xml:space="preserve">MMUT:NM_000255:exon12:c.T1985C:p.V662A;MUT:uc003ozg.4:exon12:c.T1985C:p.V662A;MMUT:ENST00000274813.4_5:exon12:c.T1985C:p.V662A</t>
  </si>
  <si>
    <t xml:space="preserve">5.92436972896757e-18</t>
  </si>
  <si>
    <t xml:space="preserve">methylmalonyl-CoA mutase</t>
  </si>
  <si>
    <t xml:space="preserve">FUNCTION: Involved in the degradation of several amino acids, odd- chain fatty acids and cholesterol via propionyl-CoA to the tricarboxylic acid cycle. MCM has different functions in other species.; </t>
  </si>
  <si>
    <t xml:space="preserve">DISEASE: Methylmalonic aciduria type mut (MMAM) [MIM:251000]: An often fatal disorder of organic acid metabolism. Common clinical features include lethargy, vomiting, failure to thrive, hypotonia, neurological deficit and early death. Two forms of the disease are distinguished by the presence (mut-) or absence (mut0) of residual enzyme activity. Mut0 patients have more severe neurological manifestations of the disease than do MUT- patients. MMAM is unresponsive to vitamin B12 therapy. {ECO:0000269|PubMed:10923046, ECO:0000269|PubMed:11350191, ECO:0000269|PubMed:1346616, ECO:0000269|PubMed:1351030, ECO:0000269|PubMed:15643616, ECO:0000269|PubMed:15781192, ECO:0000269|PubMed:16281286, ECO:0000269|PubMed:1670635, ECO:0000269|PubMed:1977311, ECO:0000269|PubMed:7909321, ECO:0000269|PubMed:7912889, ECO:0000269|PubMed:9285782, ECO:0000269|PubMed:9452100, ECO:0000269|PubMed:9554742}. Note=The disease is caused by mutations affecting the gene represented in this entry.; </t>
  </si>
  <si>
    <t xml:space="preserve">58.64</t>
  </si>
  <si>
    <t xml:space="preserve">DEFB113:NM_001037729:exon2:c.G116A:p.R39H;DEFB113:uc011dwq.2:exon2:c.G116A:p.R39H;DEFB113:ENST00000398718.1_5:exon2:c.G116A:p.R39H</t>
  </si>
  <si>
    <t xml:space="preserve">0.000538841057144388</t>
  </si>
  <si>
    <t xml:space="preserve">defensin beta 113</t>
  </si>
  <si>
    <t xml:space="preserve">FUNCTION: Has antibacterial activity. {ECO:0000250}.; </t>
  </si>
  <si>
    <t xml:space="preserve">973.64</t>
  </si>
  <si>
    <t xml:space="preserve">29,31</t>
  </si>
  <si>
    <t xml:space="preserve">BACH2:NM_001170794:exon5:c.G891C:p.E297D,BACH2:NM_021813:exon7:c.G891C:p.E297D;BACH2:uc003pnw.3:exon5:c.G891C:p.E297D,BACH2:uc010kch.3:exon7:c.G891C:p.E297D,BACH2:uc011eab.2:exon7:c.G891C:p.E297D;BACH2:ENST00000343122.7_5:exon5:c.G891C:p.E297D,BACH2:ENST00000406998.7_8:exon5:c.G891C:p.E297D,BACH2:ENST00000695952.1_1:exon5:c.G891C:p.E297D,BACH2:ENST00000453877.6_6:exon6:c.G891C:p.E297D,BACH2:ENST00000257749.9_6:exon7:c.G891C:p.E297D</t>
  </si>
  <si>
    <t xml:space="preserve">0.874039851139597</t>
  </si>
  <si>
    <t xml:space="preserve">BTB domain and CNC homolog 2</t>
  </si>
  <si>
    <t xml:space="preserve">FUNCTION: Transcriptional regulator that acts as repressor or activator. Binds to Maf recognition elements (MARE). Play important roles in coordinating transcription activation and repression by MAFK (By similarity). Induces apoptosis in response to oxidative stress through repression of the antiapoptotic factor HMOX1. {ECO:0000250, ECO:0000269|PubMed:17018862}.; </t>
  </si>
  <si>
    <t xml:space="preserve">112.64</t>
  </si>
  <si>
    <t xml:space="preserve">1,4</t>
  </si>
  <si>
    <t xml:space="preserve">NKAIN2:NM_001040214:exon3:c.G262A:p.D88N,NKAIN2:NM_153355:exon3:c.G262A:p.D88N,NKAIN2:NM_001300737:exon4:c.G259A:p.D87N;NKAIN2:uc003pzn.1:exon3:c.G262A:p.D88N,NKAIN2:uc003pzo.3:exon3:c.G262A:p.D88N,NKAIN2:uc010keq.3:exon3:c.G262A:p.D88N,NKAIN2:uc003pzp.3:exon4:c.G259A:p.D87N;NKAIN2:ENST00000368416.5_1:exon3:c.G262A:p.D88N,NKAIN2:ENST00000368417.6_3:exon3:c.G262A:p.D88N,NKAIN2:ENST00000545433.2_1:exon3:c.G259A:p.D87N</t>
  </si>
  <si>
    <t xml:space="preserve">0.00783238533852385</t>
  </si>
  <si>
    <t xml:space="preserve">Na+/K+ transporting ATPase interacting 2</t>
  </si>
  <si>
    <t xml:space="preserve">NUP42:NM_001370443:exon4:c.G469T:p.E157X,NUP42:NM_001370444:exon4:c.G469T:p.E157X,NUP42:NM_001370445:exon4:c.G100T:p.E34X,NUP42:NM_007342:exon4:c.G469T:p.E157X;NUPL2:uc003svu.3:exon4:c.G469T:p.E157X;NUP42:ENST00000258742.10_1:exon4:c.G469T:p.E157X</t>
  </si>
  <si>
    <t xml:space="preserve">3.67028875429224e-05</t>
  </si>
  <si>
    <t xml:space="preserve">nucleoporin like 2</t>
  </si>
  <si>
    <t xml:space="preserve">FUNCTION: Required for the export of mRNAs containing poly(A) tails from the nucleus into the cytoplasm. In case of infection by HIV-1, it may participate in the docking of viral Vpr at the nuclear envelope. {ECO:0000269|PubMed:10610322, ECO:0000269|PubMed:16000379}.; </t>
  </si>
  <si>
    <t xml:space="preserve">56.64</t>
  </si>
  <si>
    <t xml:space="preserve">STYXL1:NM_001317785:exon2:c.A89G:p.Y30C,STYXL1:NM_001317786:exon2:c.A89G:p.Y30C,STYXL1:NM_001317787:exon2:c.A89G:p.Y30C,STYXL1:NM_001317788:exon2:c.A89G:p.Y30C,STYXL1:NM_016086:exon2:c.A89G:p.Y30C;STYXL1:uc003uen.1:exon1:c.A89G:p.Y30C,STYXL1:uc003uek.4:exon2:c.A89G:p.Y30C,STYXL1:uc003uel.3:exon2:c.A89G:p.Y30C,STYXL1:uc003uem.3:exon2:c.A89G:p.Y30C,STYXL1:uc010ldh.2:exon2:c.A89G:p.Y30C;STYXL1:ENST00000248600.5_3:exon2:c.A89G:p.Y30C,STYXL1:ENST00000340062.9_4:exon2:c.A89G:p.Y30C,STYXL1:ENST00000359697.8_5:exon2:c.A89G:p.Y30C,STYXL1:ENST00000360591.7_4:exon2:c.A89G:p.Y30C,STYXL1:ENST00000431581.5_3:exon2:c.A89G:p.Y30C,STYXL1:ENST00000451157.1_3:exon2:c.A89G:p.Y30C</t>
  </si>
  <si>
    <t xml:space="preserve">0.00974654300814003</t>
  </si>
  <si>
    <t xml:space="preserve">serine/threonine/tyrosine interacting-like 1</t>
  </si>
  <si>
    <t xml:space="preserve">FUNCTION: Probable pseudophosphatase. Contains a Ser residue instead of a conserved Cys residue in the dsPTPase catalytic loop which probably renders it catalytically inactive as a phosphatase. The binding pocket may be however sufficiently preserved to bind phosphorylated substrates, and maybe protect them from phosphatases.; </t>
  </si>
  <si>
    <t xml:space="preserve">738.64</t>
  </si>
  <si>
    <t xml:space="preserve">26,27</t>
  </si>
  <si>
    <t xml:space="preserve">UNKNOWN;ZAN:uc003uwj.3:exon16:c.C3370T:p.R1124W,ZAN:uc003uwk.3:exon16:c.C3370T:p.R1124W;UNKNOWN</t>
  </si>
  <si>
    <t xml:space="preserve">1.56059061227021e-43</t>
  </si>
  <si>
    <t xml:space="preserve">zonadhesin (gene/pseudogene)</t>
  </si>
  <si>
    <t xml:space="preserve">FUNCTION: Binds in a species-specific manner to the zona pellucida of the egg. May be involved in gamete recognition and/or signaling.; </t>
  </si>
  <si>
    <t xml:space="preserve">6,8</t>
  </si>
  <si>
    <t xml:space="preserve">MGAM2:NM_001293626:exon11:c.T1099A:p.S367T;LOC93432:uc003vwz.3:exon11:c.T1099A:p.S367T;MGAM2:ENST00000477922.4_3:exon11:c.T1099A:p.S367T,MGAM2:ENST00000550469.6_1:exon11:c.T1099A:p.S367T</t>
  </si>
  <si>
    <t xml:space="preserve">1;2</t>
  </si>
  <si>
    <t xml:space="preserve">maltase-glucoamylase 2 (putative)</t>
  </si>
  <si>
    <t xml:space="preserve">264.64</t>
  </si>
  <si>
    <t xml:space="preserve">16,10</t>
  </si>
  <si>
    <t xml:space="preserve">MGAM2:NM_001293626:exon17:c.A1817G:p.N606S;dist=10756;dist=16431;MGAM2:ENST00000477922.4_3:exon17:c.A1817G:p.N606S</t>
  </si>
  <si>
    <t xml:space="preserve">3/6</t>
  </si>
  <si>
    <t xml:space="preserve">178.64</t>
  </si>
  <si>
    <t xml:space="preserve">11,6</t>
  </si>
  <si>
    <t xml:space="preserve">ZNF398:NM_170686:exon3:c.T433A:p.F145I;ZNF398:uc003wfl.3:exon3:c.T433A:p.F145I,ZNF398:uc011kum.2:exon4:c.T448A:p.F150I;ZNF398:ENST00000475153.6_3:exon3:c.T433A:p.F145I</t>
  </si>
  <si>
    <t xml:space="preserve">0.959343721509368</t>
  </si>
  <si>
    <t xml:space="preserve">zinc finger protein 398</t>
  </si>
  <si>
    <t xml:space="preserve">FUNCTION: Function as a transcriptional activator.; </t>
  </si>
  <si>
    <t xml:space="preserve">chr8</t>
  </si>
  <si>
    <t xml:space="preserve">93</t>
  </si>
  <si>
    <t xml:space="preserve">47,46</t>
  </si>
  <si>
    <t xml:space="preserve">SLC18A1:NM_003053:exon6:c.G674A:p.R225K,SLC18A1:NM_001135691:exon7:c.G674A:p.R225K,SLC18A1:NM_001142324:exon7:c.G674A:p.R225K,SLC18A1:NM_001142325:exon7:c.G674A:p.R225K;SLC18A1:uc003wzm.3:exon6:c.G674A:p.R225K,SLC18A1:uc003wzn.3:exon7:c.G674A:p.R225K,SLC18A1:uc011kyq.2:exon7:c.G674A:p.R225K,SLC18A1:uc011kyr.2:exon7:c.G674A:p.R225K;SLC18A1:ENST00000381608.8_5:exon5:c.G674A:p.R225K,SLC18A1:ENST00000276373.10_8:exon6:c.G674A:p.R225K,SLC18A1:ENST00000519026.5_5:exon6:c.G674A:p.R225K,SLC18A1:ENST00000265808.11_5:exon7:c.G674A:p.R225K,SLC18A1:ENST00000437980.3_5:exon7:c.G674A:p.R225K,SLC18A1:ENST00000440926.3_6:exon7:c.G674A:p.R225K</t>
  </si>
  <si>
    <t xml:space="preserve">1.8888318573672e-14</t>
  </si>
  <si>
    <t xml:space="preserve">solute carrier family 18 member A1</t>
  </si>
  <si>
    <t xml:space="preserve">FUNCTION: Involved in the transport of biogenic monoamines, such as serotonin, from the cytoplasm into the secretory vesicles of neuroendocrine and endocrine cells. {ECO:0000269|PubMed:16326835}.; </t>
  </si>
  <si>
    <t xml:space="preserve">644.64</t>
  </si>
  <si>
    <t xml:space="preserve">17,23</t>
  </si>
  <si>
    <t xml:space="preserve">DMTN:NM_001323381:exon2:c.G56A:p.R19Q,DMTN:NM_001323385:exon2:c.G56A:p.R19Q,DMTN:NM_001114135:exon3:c.G56A:p.R19Q,DMTN:NM_001114136:exon3:c.G56A:p.R19Q,DMTN:NM_001114137:exon3:c.G56A:p.R19Q,DMTN:NM_001114138:exon3:c.G56A:p.R19Q,DMTN:NM_001302816:exon3:c.G56A:p.R19Q,DMTN:NM_001323378:exon3:c.G56A:p.R19Q,DMTN:NM_001323379:exon3:c.G56A:p.R19Q,DMTN:NM_001323380:exon3:c.G56A:p.R19Q,DMTN:NM_001323382:exon3:c.G56A:p.R19Q,DMTN:NM_001323383:exon3:c.G56A:p.R19Q,DMTN:NM_001323384:exon3:c.G56A:p.R19Q,DMTN:NM_001323389:exon3:c.G56A:p.R19Q,DMTN:NM_001323390:exon3:c.G56A:p.R19Q,DMTN:NM_001978:exon3:c.G56A:p.R19Q;DMTN:uc022asw.1:exon2:c.G56A:p.R19Q,DMTN:uc022asx.1:exon2:c.G56A:p.R19Q,DMTN:uc022asq.1:exon3:c.G56A:p.R19Q,DMTN:uc022asr.1:exon3:c.G56A:p.R19Q,DMTN:uc022ast.1:exon3:c.G56A:p.R19Q,DMTN:uc022asu.1:exon3:c.G56A:p.R19Q,DMTN:uc022asv.1:exon3:c.G56A:p.R19Q;DMTN:ENST00000265800.9_5:exon3:c.G56A:p.R19Q,DMTN:ENST00000358242.6_5:exon3:c.G56A:p.R19Q,DMTN:ENST00000381470.7_5:exon3:c.G56A:p.R19Q,DMTN:ENST00000415253.5_5:exon3:c.G56A:p.R19Q,DMTN:ENST00000432128.6_6:exon3:c.G56A:p.R19Q,DMTN:ENST00000517305.5_5:exon3:c.G56A:p.R19Q,DMTN:ENST00000519907.5_5:exon3:c.G56A:p.R19Q,DMTN:ENST00000523266.5_5:exon3:c.G56A:p.R19Q</t>
  </si>
  <si>
    <t xml:space="preserve">0.961762589977884</t>
  </si>
  <si>
    <t xml:space="preserve">dematin actin binding protein</t>
  </si>
  <si>
    <t xml:space="preserve">FUNCTION: Membrane-cytoskeleton-associated protein with F-actin- binding activity that induces F-actin bundles formation and stabilization. Its F-actin-bundling activity is reversibly regulated upon its phosphorylation by the cAMP-dependent protein kinase A (PKA). Binds to the erythrocyte membrane glucose transporter-1 SLC2A1/GLUT1, and hence stabilizes and attaches the spectrin-actin network to the erythrocytic plasma membrane. Plays a role in maintaining the functional integrity of PKA-activated erythrocyte shape and the membrane mechanical properties. Plays also a role as a modulator of actin dynamics in fibroblasts; acts as a negative regulator of the RhoA activation pathway. In platelets, functions as a regulator of internal calcium mobilization across the dense tubular system that affects platelet granule secretion pathways and aggregation. Also required for the formation of a diverse set of cell protrusions, such as filopodia and lamellipodia, necessary for platelet cell spreading, motility and migration. Acts as a tumor suppressor and inhibits malignant cell transformation. {ECO:0000269|PubMed:10565303, ECO:0000269|PubMed:11856323, ECO:0000269|PubMed:18347014, ECO:0000269|PubMed:19241372, ECO:0000269|PubMed:22927433, ECO:0000269|PubMed:23355471}.; </t>
  </si>
  <si>
    <t xml:space="preserve">490.64</t>
  </si>
  <si>
    <t xml:space="preserve">23,22</t>
  </si>
  <si>
    <t xml:space="preserve">exonic;intronic</t>
  </si>
  <si>
    <t xml:space="preserve">RIMS2:NM_001282882:exon1:c.G79A:p.A27T;RIMS2:ENST00000523362.6_2:exon1:c.G79A:p.A27T</t>
  </si>
  <si>
    <t xml:space="preserve">3/8</t>
  </si>
  <si>
    <t xml:space="preserve">0.999998398615947</t>
  </si>
  <si>
    <t xml:space="preserve">regulating synaptic membrane exocytosis 2</t>
  </si>
  <si>
    <t xml:space="preserve">FUNCTION: Rab effector involved in exocytosis. May act as scaffold protein. Plays a role in dendrite formation by melanocytes (PubMed:23999003). {ECO:0000269|PubMed:23999003}.; </t>
  </si>
  <si>
    <t xml:space="preserve">142.64</t>
  </si>
  <si>
    <t xml:space="preserve">CSMD3:NM_001363185:exon43:c.C6707T:p.T2236M,CSMD3:NM_052900:exon46:c.C6995T:p.T2332M,CSMD3:NM_198123:exon47:c.C7307T:p.T2436M,CSMD3:NM_198124:exon48:c.C7187T:p.T2396M;CSMD3:uc003ynw.1:exon5:c.C440T:p.T147M,CSMD3:uc003yns.3:exon32:c.C4913T:p.T1638M,CSMD3:uc011lhx.2:exon46:c.C6995T:p.T2332M,CSMD3:uc003ynu.3:exon47:c.C7307T:p.T2436M,CSMD3:uc003ynt.3:exon48:c.C7187T:p.T2396M;CSMD3:ENST00000455883.2_3:exon46:c.C6995T:p.T2332M,CSMD3:ENST00000297405.10_6:exon47:c.C7307T:p.T2436M,CSMD3:ENST00000343508.7_4:exon48:c.C7187T:p.T2396M</t>
  </si>
  <si>
    <t xml:space="preserve">0.999999995922049</t>
  </si>
  <si>
    <t xml:space="preserve">CUB and Sushi multiple domains 3</t>
  </si>
  <si>
    <t xml:space="preserve">344.64</t>
  </si>
  <si>
    <t xml:space="preserve">WDR97:NM_001316309:exon24:c.C4798T:p.P1600S;KIAA1875:uc011lkz.1:exon7:c.C1237T:p.P413S;WDR97:ENST00000323662.9_4:exon24:c.C4798T:p.P1600S</t>
  </si>
  <si>
    <t xml:space="preserve">WD repeat domain 97</t>
  </si>
  <si>
    <t xml:space="preserve">44.64</t>
  </si>
  <si>
    <t xml:space="preserve">9,3</t>
  </si>
  <si>
    <t xml:space="preserve">PDCD1LG2:NM_025239:exon2:c.C37T:p.Q13X;PDCD1LG2:uc010mho.1:exon1:c.C37T:p.Q13X,PDCD1LG2:uc010mhp.1:exon1:c.C37T:p.Q13X,PDCD1LG2:uc003zjg.4:exon2:c.C37T:p.Q13X,PDCD1LG2:uc011lmc.2:exon2:c.C37T:p.Q13X,PDCD1LG2:uc011lmd.2:exon2:c.C37T:p.Q13X;PDCD1LG2:ENST00000397747.5_3:exon2:c.C37T:p.Q13X</t>
  </si>
  <si>
    <t xml:space="preserve">0.000429826390067904</t>
  </si>
  <si>
    <t xml:space="preserve">programmed cell death 1 ligand 2</t>
  </si>
  <si>
    <t xml:space="preserve">FUNCTION: Involved in the costimulatory signal, essential for T- cell proliferation and IFNG production in a PDCD1-independent manner. Interaction with PDCD1 inhibits T-cell proliferation by blocking cell cycle progression and cytokine production (By similarity). {ECO:0000250}.; </t>
  </si>
  <si>
    <t xml:space="preserve">1484.64</t>
  </si>
  <si>
    <t xml:space="preserve">92</t>
  </si>
  <si>
    <t xml:space="preserve">44,48</t>
  </si>
  <si>
    <t xml:space="preserve">C9orf131:NM_001040410:exon2:c.A587G:p.N196S,C9orf131:NM_001040411:exon2:c.A473G:p.N158S,C9orf131:NM_001287391:exon2:c.A473G:p.N158S,C9orf131:NM_203299:exon2:c.A692G:p.N231S,C9orf131:NM_001040412:exon3:c.A548G:p.N183S;C9orf131:uc003zvv.3:exon2:c.A473G:p.N158S,C9orf131:uc003zvw.3:exon2:c.A692G:p.N231S,C9orf131:uc003zvx.3:exon2:c.A587G:p.N196S,C9orf131:uc003zvu.3:exon3:c.A548G:p.N183S;C9orf131:ENST00000312292.6_7:exon2:c.A692G:p.N231S,C9orf131:ENST00000354479.5_1:exon2:c.A473G:p.N158S,C9orf131:ENST00000421362.6_1:exon3:c.A548G:p.N183S</t>
  </si>
  <si>
    <t xml:space="preserve">3.48248704048122e-13</t>
  </si>
  <si>
    <t xml:space="preserve">chromosome 9 open reading frame 131</t>
  </si>
  <si>
    <t xml:space="preserve">1912.64</t>
  </si>
  <si>
    <t xml:space="preserve">52,58</t>
  </si>
  <si>
    <t xml:space="preserve">PRKACG:NM_002732:exon1:c.T307C:p.F103L;PRKACG:uc004agy.3:exon1:c.T307C:p.F103L;PRKACG:ENST00000377276.5_4:exon1:c.T307C:p.F103L</t>
  </si>
  <si>
    <t xml:space="preserve">0.00505819149155764</t>
  </si>
  <si>
    <t xml:space="preserve">protein kinase cAMP-activated catalytic subunit gamma</t>
  </si>
  <si>
    <t xml:space="preserve">FUNCTION: Phosphorylates a large number of substrates in the cytoplasm and the nucleus.; </t>
  </si>
  <si>
    <t xml:space="preserve">65.64</t>
  </si>
  <si>
    <t xml:space="preserve">C9orf135:NM_001308085:exon5:c.C269T:p.T90M,C9orf135:NM_001010940:exon6:c.C566T:p.T189M;C9orf135:uc010moq.3:exon5:c.C242T:p.T81M,C9orf135:uc004ahl.3:exon6:c.C566T:p.T189M;CFAP95:ENST00000377197.8_3:exon6:c.C566T:p.T189M</t>
  </si>
  <si>
    <t xml:space="preserve">1.84473133938082e-05</t>
  </si>
  <si>
    <t xml:space="preserve">chromosome 9 open reading frame 135</t>
  </si>
  <si>
    <t xml:space="preserve">TUT7:NM_001185059:exon14:c.A2896C:p.S966R,TUT7:NM_024617:exon14:c.A2896C:p.S966R,TUT7:NM_001330718:exon15:c.A763C:p.S255R;ZCCHC6:uc004aoq.3:exon14:c.A2896C:p.S966R,ZCCHC6:uc004aou.3:exon14:c.A2896C:p.S966R;TUT7:ENST00000375963.8_5:exon14:c.A2896C:p.S966R,TUT7:ENST00000277141.10_4:exon15:c.A763C:p.S255R</t>
  </si>
  <si>
    <t xml:space="preserve">0.999999562537735</t>
  </si>
  <si>
    <t xml:space="preserve">zinc finger CCHC-type containing 6</t>
  </si>
  <si>
    <t xml:space="preserve">FUNCTION: Uridylyltransferase that mediates the terminal uridylation of mRNAs with short (less than 25 nucleotides) poly(A) tails, hence facilitating global mRNA decay (PubMed:19703396, PubMed:25480299). Involved in microRNA (miRNA)-induced gene silencing through uridylation of deadenylated miRNA targets (PubMed:25480299). Also acts as a suppressor of miRNA biogenesis by mediating the terminal uridylation of some miRNA precursors, including that of let-7 (pre-let-7). Uridylated pre-let-7 RNA is not processed by Dicer and undergo degradation. Pre-let-7 uridylation is strongly enhanced in the presence of LIN28A (PubMed:22898984). Due to functional redundancy between ZCCHC6 and ZCCHC11, the identification of the specific role of each of these proteins is difficult. {ECO:0000269|PubMed:19703396, ECO:0000269|PubMed:22898984, ECO:0000269|PubMed:25480299}.; </t>
  </si>
  <si>
    <t xml:space="preserve">14,4</t>
  </si>
  <si>
    <t xml:space="preserve">WNK2:NM_001282394:exon18:c.G3967C:p.A1323P,WNK2:NM_006648:exon18:c.G3967C:p.A1323P;WNK2:uc004atk.3:exon15:c.G2878C:p.A960P,WNK2:uc004ati.1:exon18:c.G3967C:p.A1323P,WNK2:uc004atj.3:exon18:c.G3967C:p.A1323P,WNK2:uc011lud.1:exon18:c.G3967C:p.A1323P;WNK2:ENST00000395477.6_3:exon18:c.G3967C:p.A1323P,WNK2:ENST00000432730.6_6:exon18:c.G3967C:p.A1323P,WNK2:ENST00000297954.9_7:exon19:c.G3967C:p.A1323P,WNK2:ENST00000427277.7_2:exon19:c.G3967C:p.A1323P</t>
  </si>
  <si>
    <t xml:space="preserve">0.792762080315492</t>
  </si>
  <si>
    <t xml:space="preserve">WNK lysine deficient protein kinase 2</t>
  </si>
  <si>
    <t xml:space="preserve">FUNCTION: Serine/threonine kinase which plays an important role in the regulation of electrolyte homeostasis, cell signaling, survival, and proliferation. Acts as an activator and inhibitor of sodium-coupled chloride cotransporters and potassium-coupled chloride cotransporters respectively. Activates SLC12A2, SCNN1A, SCNN1B, SCNN1D and SGK1 and inhibits SLC12A5. Negatively regulates the EGF-induced activation of the ERK/MAPK-pathway and the downstream cell cycle progression. Affects MAPK3/MAPK1 activity by modulating the activity of MAP2K1 and this modulation depends on phosphorylation of MAP2K1 by PAK1. WNK2 acts by interfering with the activity of PAK1 by controlling the balance of the activity of upstream regulators of PAK1 activity, RHOA and RAC1, which display reciprocal activity. {ECO:0000269|PubMed:17667937, ECO:0000269|PubMed:18593598, ECO:0000269|PubMed:21733846}.; </t>
  </si>
  <si>
    <t xml:space="preserve">WNK2:NM_001282394:exon18:c.G3973C:p.E1325Q,WNK2:NM_006648:exon18:c.G3973C:p.E1325Q;WNK2:uc004atk.3:exon15:c.G2884C:p.E962Q,WNK2:uc004ati.1:exon18:c.G3973C:p.E1325Q,WNK2:uc004atj.3:exon18:c.G3973C:p.E1325Q,WNK2:uc011lud.1:exon18:c.G3973C:p.E1325Q;WNK2:ENST00000395477.6_3:exon18:c.G3973C:p.E1325Q,WNK2:ENST00000432730.6_6:exon18:c.G3973C:p.E1325Q,WNK2:ENST00000297954.9_7:exon19:c.G3973C:p.E1325Q,WNK2:ENST00000427277.7_2:exon19:c.G3973C:p.E1325Q</t>
  </si>
  <si>
    <t xml:space="preserve">157.64</t>
  </si>
  <si>
    <t xml:space="preserve">8,6</t>
  </si>
  <si>
    <t xml:space="preserve">RNF20:NM_019592:exon16:c.C2354A:p.A785E;RNF20:uc004bbn.3:exon16:c.C2354A:p.A785E;RNF20:ENST00000389120.8_3:exon16:c.C2354A:p.A785E</t>
  </si>
  <si>
    <t xml:space="preserve">0.000923364699321696</t>
  </si>
  <si>
    <t xml:space="preserve">ring finger protein 20</t>
  </si>
  <si>
    <t xml:space="preserve">FUNCTION: Component of the RNF20/40 E3 ubiquitin-protein ligase complex that mediates monoubiquitination of 'Lys-120' of histone H2B (H2BK120ub1). H2BK120ub1 gives a specific tag for epigenetic transcriptional activation and is also prerequisite for histone H3 'Lys-4' and 'Lys-79' methylation (H3K4me and H3K79me, respectively). It thereby plays a central role inb histone code and gene regulation. The RNF20/40 complex forms a H2B ubiquitin ligase complex in cooperation with the E2 enzyme UBE2A or UBE2B; reports about the cooperation with UBE2E1/UBCH are contradictory. Required for transcriptional activation of Hox genes. Recruited to the MDM2 promoter, probably by being recruited by p53/TP53, and thereby acts as a transcriptional coactivator. Mediates the polyubiquitination of isoform 2 of PA2G4 in cancer cells leading to its proteasome-mediated degradation. {ECO:0000269|PubMed:16307923, ECO:0000269|PubMed:16337599, ECO:0000269|PubMed:19037095, ECO:0000269|PubMed:19410543}.; </t>
  </si>
  <si>
    <t xml:space="preserve">1079.64</t>
  </si>
  <si>
    <t xml:space="preserve">30,34</t>
  </si>
  <si>
    <t xml:space="preserve">ATP6V1G1:NM_004888:exon3:c.C265T:p.R89W;ATP6V1G1:uc004bjc.3:exon3:c.C265T:p.R89W;ATP6V1G1:ENST00000374050.4_3:exon3:c.C265T:p.R89W</t>
  </si>
  <si>
    <t xml:space="preserve">0.0451736710316889</t>
  </si>
  <si>
    <t xml:space="preserve">ATPase H+ transporting V1 subunit G1</t>
  </si>
  <si>
    <t xml:space="preserve">FUNCTION: Catalytic subunit of the peripheral V1 complex of vacuolar ATPase (V-ATPase). V-ATPase is responsible for acidifying a variety of intracellular compartments in eukaryotic cells.; </t>
  </si>
  <si>
    <t xml:space="preserve">312.64</t>
  </si>
  <si>
    <t xml:space="preserve">22,12</t>
  </si>
  <si>
    <t xml:space="preserve">WDR38:NM_001276376:exon5:c.C344T:p.T115I,WDR38:NM_001045476:exon6:c.C491T:p.T164I,WDR38:NM_001276374:exon6:c.C491T:p.T164I,WDR38:NM_001276375:exon6:c.C458T:p.T153I;WDR38:uc011lzp.3:exon5:c.C344T:p.T115I,WDR38:uc004box.4:exon6:c.C491T:p.T164I,WDR38:uc011lzn.3:exon6:c.C458T:p.T153I,WDR38:uc011lzo.3:exon6:c.C491T:p.T164I;WDR38:ENST00000618744.4_1:exon5:c.C344T:p.T115I,WDR38:ENST00000373574.2_6:exon6:c.C491T:p.T164I,WDR38:ENST00000613760.4_4:exon6:c.C491T:p.T164I</t>
  </si>
  <si>
    <t xml:space="preserve">0.000345295162872057</t>
  </si>
  <si>
    <t xml:space="preserve">WD repeat domain 38</t>
  </si>
  <si>
    <t xml:space="preserve">32,25</t>
  </si>
  <si>
    <t xml:space="preserve">LAMC3:NM_006059:exon14:c.G2560A:p.A854T;LAMC3:uc004caa.1:exon14:c.G2560A:p.A854T;LAMC3:ENST00000361069.9_3:exon14:c.G2560A:p.A854T</t>
  </si>
  <si>
    <t xml:space="preserve">9.82326673498679e-11</t>
  </si>
  <si>
    <t xml:space="preserve">laminin subunit gamma 3</t>
  </si>
  <si>
    <t xml:space="preserve">DISEASE: Cortical malformations occipital (OCCM) [MIM:614115]: A disease in which affected individuals develop seizures, sometimes associated with transient visual changes. Brain MRI shows both pachygyria and polymicrogyria restricted to the lateral occipital lobes. {ECO:0000269|PubMed:21572413}. Note=The disease is caused by mutations affecting the gene represented in this entry.; </t>
  </si>
  <si>
    <t xml:space="preserve">26,25</t>
  </si>
  <si>
    <t xml:space="preserve">LAMC3:NM_006059:exon25:c.T4148A:p.M1383K;LAMC3:uc010mze.1:exon3:c.T212A:p.M71K,LAMC3:uc004caa.1:exon25:c.T4148A:p.M1383K;LAMC3:ENST00000361069.9_3:exon25:c.T4148A:p.M1383K</t>
  </si>
  <si>
    <t xml:space="preserve">443.64</t>
  </si>
  <si>
    <t xml:space="preserve">RPL7A:NM_000972:exon4:c.G367A:p.A123T;RPL7A:uc004cde.1:exon4:c.G367A:p.A123T;RPL7A:ENST00000315731.4_1:exon3:c.G22A:p.A8T,RPL7A:ENST00000323345.11_3:exon4:c.G367A:p.A123T</t>
  </si>
  <si>
    <t xml:space="preserve">0.979405408797334</t>
  </si>
  <si>
    <t xml:space="preserve">ribosomal protein L7a</t>
  </si>
  <si>
    <t xml:space="preserve">DISEASE: Note=Chromosomal recombination involving RPL7A activates the receptor kinase domain of the TRK oncogene.; </t>
  </si>
  <si>
    <t xml:space="preserve">chrX</t>
  </si>
  <si>
    <t xml:space="preserve">OTUD5:NM_001136157:exon1:c.G175A:p.A59T,OTUD5:NM_001136158:exon1:c.G175A:p.A59T,OTUD5:NM_017602:exon1:c.G175A:p.A59T;OTUD5:uc004dlt.4:exon1:c.G175A:p.A59T,OTUD5:uc004dlu.3:exon1:c.G175A:p.A59T,OTUD5:uc004dlv.3:exon1:c.G175A:p.A59T;OTUD5:ENST00000156084.8_6:exon1:c.G175A:p.A59T,OTUD5:ENST00000376488.8_8:exon1:c.G175A:p.A59T,OTUD5:ENST00000396743.7_6:exon1:c.G175A:p.A59T</t>
  </si>
  <si>
    <t xml:space="preserve">1/6</t>
  </si>
  <si>
    <t xml:space="preserve">0.97654856924968</t>
  </si>
  <si>
    <t xml:space="preserve">OTU deubiquitinase 5</t>
  </si>
  <si>
    <t xml:space="preserve">FUNCTION: Deubiquitinating enzyme that functions as negative regulator of the innate immune system. Acts via TRAF3 deubiquitination and subsequent suppression of type I interferon (IFN) production. Has peptidase activity towards 'Lys-48'- and 'Lys-63'-linked polyubiquitin chains. Can also cleave 'Lys-11'- linked ubiquitin chains (in vitro). {ECO:0000269|PubMed:17991829, ECO:0000269|PubMed:22245969, ECO:0000269|PubMed:23827681}.; </t>
  </si>
  <si>
    <t xml:space="preserve">590.64</t>
  </si>
  <si>
    <t xml:space="preserve">91</t>
  </si>
  <si>
    <t xml:space="preserve">71,20</t>
  </si>
  <si>
    <t xml:space="preserve">FAM104B:NM_001166699:exon3:c.C188G:p.P63R,FAM104B:NM_001166700:exon3:c.C188G:p.P63R,FAM104B:NM_001166701:exon3:c.C185G:p.P62R,FAM104B:NM_001166702:exon3:c.C176G:p.P59R,FAM104B:NM_001166703:exon3:c.C182G:p.P61R,FAM104B:NM_138362:exon3:c.C185G:p.P62R;FAM104B:uc004dug.2:exon3:c.C188G:p.P63R,FAM104B:uc004duh.2:exon3:c.C185G:p.P62R,FAM104B:uc004dui.4:exon3:c.C188G:p.P63R,FAM104B:uc022bxm.1:exon3:c.C182G:p.P61R,FAM104B:uc022bxn.1:exon3:c.C176G:p.P59R,FAM104B:uc022bxo.1:exon3:c.C185G:p.P62R;FAM104B:ENST00000332132.8_5:exon3:c.C188G:p.P63R,FAM104B:ENST00000358460.8_6:exon3:c.C185G:p.P62R,FAM104B:ENST00000425133.2_9:exon3:c.C188G:p.P63R,FAM104B:ENST00000477847.6_5:exon3:c.C176G:p.P59R,FAM104B:ENST00000489298.1_8:exon3:c.C182G:p.P61R,FAM104B:ENST00000685693.1_3:exon3:c.C185G:p.P62R</t>
  </si>
  <si>
    <t xml:space="preserve">0/6</t>
  </si>
  <si>
    <t xml:space="preserve">0.00870993932895896</t>
  </si>
  <si>
    <t xml:space="preserve">family with sequence similarity 104 member B</t>
  </si>
  <si>
    <t xml:space="preserve">2102.64</t>
  </si>
  <si>
    <t xml:space="preserve">24,58</t>
  </si>
  <si>
    <t xml:space="preserve">FAM104B:NM_001166699:exon3:c.A181G:p.S61G,FAM104B:NM_001166700:exon3:c.A181G:p.S61G,FAM104B:NM_001166701:exon3:c.A178G:p.S60G,FAM104B:NM_001166702:exon3:c.A169G:p.S57G,FAM104B:NM_001166703:exon3:c.A175G:p.S59G,FAM104B:NM_138362:exon3:c.A178G:p.S60G;FAM104B:uc004dug.2:exon3:c.A181G:p.S61G,FAM104B:uc004duh.2:exon3:c.A178G:p.S60G,FAM104B:uc004dui.4:exon3:c.A181G:p.S61G,FAM104B:uc022bxm.1:exon3:c.A175G:p.S59G,FAM104B:uc022bxn.1:exon3:c.A169G:p.S57G,FAM104B:uc022bxo.1:exon3:c.A178G:p.S60G;FAM104B:ENST00000332132.8_5:exon3:c.A181G:p.S61G,FAM104B:ENST00000358460.8_6:exon3:c.A178G:p.S60G,FAM104B:ENST00000425133.2_9:exon3:c.A181G:p.S61G,FAM104B:ENST00000477847.6_5:exon3:c.A169G:p.S57G,FAM104B:ENST00000489298.1_8:exon3:c.A175G:p.S59G,FAM104B:ENST00000685693.1_3:exon3:c.A178G:p.S60G</t>
  </si>
  <si>
    <t xml:space="preserve">AlleleImbalance;GenotypeConflict</t>
  </si>
  <si>
    <t xml:space="preserve">3240.06</t>
  </si>
  <si>
    <t xml:space="preserve">3,79</t>
  </si>
  <si>
    <t xml:space="preserve">FAM104B:NM_001166699:exon3:c.A160C:p.I54L,FAM104B:NM_001166700:exon3:c.A160C:p.I54L,FAM104B:NM_001166701:exon3:c.A157C:p.I53L,FAM104B:NM_001166702:exon3:c.A148C:p.I50L,FAM104B:NM_001166703:exon3:c.A154C:p.I52L,FAM104B:NM_138362:exon3:c.A157C:p.I53L;FAM104B:uc004dug.2:exon3:c.A160C:p.I54L,FAM104B:uc004duh.2:exon3:c.A157C:p.I53L,FAM104B:uc004dui.4:exon3:c.A160C:p.I54L,FAM104B:uc022bxm.1:exon3:c.A154C:p.I52L,FAM104B:uc022bxn.1:exon3:c.A148C:p.I50L,FAM104B:uc022bxo.1:exon3:c.A157C:p.I53L;FAM104B:ENST00000332132.8_5:exon3:c.A160C:p.I54L,FAM104B:ENST00000358460.8_6:exon3:c.A157C:p.I53L,FAM104B:ENST00000425133.2_9:exon3:c.A160C:p.I54L,FAM104B:ENST00000477847.6_5:exon3:c.A148C:p.I50L,FAM104B:ENST00000489298.1_8:exon3:c.A154C:p.I52L,FAM104B:ENST00000685693.1_3:exon3:c.A157C:p.I53L</t>
  </si>
  <si>
    <t xml:space="preserve">373.64</t>
  </si>
  <si>
    <t xml:space="preserve">20,13</t>
  </si>
  <si>
    <t xml:space="preserve">FAM104B:NM_001166699:exon2:c.G26T:p.R9I,FAM104B:NM_001166700:exon2:c.G26T:p.R9I,FAM104B:NM_001166701:exon2:c.G26T:p.R9I,FAM104B:NM_001166702:exon2:c.G17T:p.R6I,FAM104B:NM_001166703:exon2:c.G23T:p.R8I,FAM104B:NM_001166704:exon2:c.G26T:p.R9I,FAM104B:NM_138362:exon2:c.G26T:p.R9I;FAM104B:uc004dug.2:exon2:c.G26T:p.R9I,FAM104B:uc004duh.2:exon2:c.G26T:p.R9I,FAM104B:uc004dui.4:exon2:c.G26T:p.R9I,FAM104B:uc022bxm.1:exon2:c.G23T:p.R8I,FAM104B:uc022bxn.1:exon2:c.G17T:p.R6I,FAM104B:uc022bxo.1:exon2:c.G26T:p.R9I,FAM104B:uc022bxp.1:exon2:c.G26T:p.R9I;FAM104B:ENST00000332132.8_5:exon2:c.G26T:p.R9I,FAM104B:ENST00000358460.8_6:exon2:c.G26T:p.R9I,FAM104B:ENST00000425133.2_9:exon2:c.G26T:p.R9I,FAM104B:ENST00000472571.2_4:exon2:c.G26T:p.R9I,FAM104B:ENST00000477847.6_5:exon2:c.G17T:p.R6I,FAM104B:ENST00000489298.1_8:exon2:c.G23T:p.R8I,FAM104B:ENST00000685693.1_3:exon2:c.G26T:p.R9I</t>
  </si>
  <si>
    <t xml:space="preserve">928.06</t>
  </si>
  <si>
    <t xml:space="preserve">2,31</t>
  </si>
  <si>
    <t xml:space="preserve">PASD1:NM_173493:exon14:c.C1489T:p.R497W;PASD1:uc004fev.4:exon14:c.C1489T:p.R497W;PASD1:ENST00000370357.5_3:exon14:c.C1489T:p.R497W</t>
  </si>
  <si>
    <t xml:space="preserve">0.89707670883228</t>
  </si>
  <si>
    <t xml:space="preserve">PAS domain containing 1</t>
  </si>
  <si>
    <t xml:space="preserve">FUNCTION: Functions as a suppressor of the biological clock that drives the daily circadian rhythms of cells throughout the body (PubMed:25936801). Acts as a nuclear repressor of the CLOCK- ARNTL/BMAL1 heterodimer-mediated transcriptional activation of the core clock components (PubMed:25936801). Inhibits circadian clock function in cancer cells, when overexpressed (PubMed:25936801). {ECO:0000269|PubMed:25936801}.; </t>
  </si>
  <si>
    <t xml:space="preserve">1135.64</t>
  </si>
  <si>
    <t xml:space="preserve">109</t>
  </si>
  <si>
    <t xml:space="preserve">76,33</t>
  </si>
  <si>
    <t xml:space="preserve">IGSF3:NM_001007237:exon7:c.G1724A:p.W575X,IGSF3:NM_001542:exon8:c.G1784A:p.W595X;IGSF3:uc001egs.1:exon3:c.G743A:p.W248X,IGSF3:uc001egr.2:exon7:c.G1724A:p.W575X,IGSF3:uc031pnr.1:exon7:c.G1784A:p.W595X;IGSF3:ENST00000318837.6_5:exon7:c.G1784A:p.W595X,IGSF3:ENST00000369486.8_8:exon7:c.G1724A:p.W575X,IGSF3:ENST00000369483.5_5:exon8:c.G1784A:p.W595X</t>
  </si>
  <si>
    <t xml:space="preserve">IGSF3:NM_001007237:exon4:c.C634T:p.Q212X,IGSF3:NM_001542:exon4:c.C634T:p.Q212X;IGSF3:uc031pnr.1:exon3:c.C634T:p.Q212X,IGSF3:uc001egr.2:exon4:c.C634T:p.Q212X;IGSF3:ENST00000318837.6_5:exon3:c.C634T:p.Q212X,IGSF3:ENST00000369483.5_5:exon4:c.C634T:p.Q212X,IGSF3:ENST00000369486.8_8:exon4:c.C634T:p.Q212X</t>
  </si>
  <si>
    <t xml:space="preserve">LAMA1:NM_005559:exon35:c.G4942T:p.E1648X;LAMA1:uc010wzj.2:exon34:c.G3370T:p.E1124X,LAMA1:uc002knm.3:exon35:c.G4942T:p.E1648X;LAMA1:ENST00000389658.4_5:exon35:c.G4942T:p.E1648X</t>
  </si>
  <si>
    <t xml:space="preserve">50.64</t>
  </si>
  <si>
    <t xml:space="preserve">SEMA3D:NM_152754:exon11:c.C1190T:p.T397I,SEMA3D:NM_001384900:exon12:c.C1190T:p.T397I,SEMA3D:NM_001384901:exon13:c.C1190T:p.T397I,SEMA3D:NM_001384902:exon14:c.C1190T:p.T397I,SEMA3D:NM_001384903:exon14:c.C1190T:p.T397I;SEMA3D:uc003uib.3:exon3:c.C107T:p.T36I,SEMA3D:uc003uic.3:exon10:c.C1190T:p.T397I,SEMA3D:uc010led.3:exon11:c.C1190T:p.T397I;SEMA3D:ENST00000284136.11_4:exon12:c.C1190T:p.T397I</t>
  </si>
  <si>
    <t xml:space="preserve">3.53080230466104e-05</t>
  </si>
  <si>
    <t xml:space="preserve">semaphorin 3D</t>
  </si>
  <si>
    <t xml:space="preserve">FUNCTION: Induces the collapse and paralysis of neuronal growth cones. Could potentially act as repulsive cues toward specific neuronal populations. Binds to neuropilin (By similarity). {ECO:0000250}.; </t>
  </si>
  <si>
    <t xml:space="preserve">1020.64</t>
  </si>
  <si>
    <t xml:space="preserve">43,35</t>
  </si>
  <si>
    <t xml:space="preserve">EVC2:NM_001166136:exon14:c.G2176A:p.V726M,EVC2:NM_147127:exon14:c.G2416A:p.V806M;EVC2:uc003gij.3:exon14:c.G2416A:p.V806M,EVC2:uc003gik.3:exon14:c.G2176A:p.V726M,EVC2:uc011bwb.2:exon15:c.G736A:p.V246M;EVC2:ENST00000310917.6_3:exon14:c.G2176A:p.V726M,EVC2:ENST00000344408.10_8:exon14:c.G2416A:p.V806M</t>
  </si>
  <si>
    <t xml:space="preserve">1.0533170759541e-21</t>
  </si>
  <si>
    <t xml:space="preserve">EvC ciliary complex subunit 2</t>
  </si>
  <si>
    <t xml:space="preserve">FUNCTION: Positive regulator of the hedgehog signaling pathway (By similarity). Plays a critical role in bone formation and skeletal development. {ECO:0000250}.; </t>
  </si>
  <si>
    <t xml:space="preserve">DISEASE: Acrofacial dysostosis, Weyers type (WAD) [MIM:193530]: An autosomal dominant condition characterized by dysplastic nails, postaxial polydactyly, dental anomalies, short limbs, short stature and normal intelligence. The phenotype is milder than Ellis-van Creveld syndrome. {ECO:0000269|PubMed:16404586}. Note=The disease is caused by mutations affecting the gene represented in this entry.; </t>
  </si>
  <si>
    <t xml:space="preserve">234.64</t>
  </si>
  <si>
    <t xml:space="preserve">4,7</t>
  </si>
  <si>
    <t xml:space="preserve">C8B:NM_000066:exon8:c.G1144T:p.D382Y,C8B:NM_001278543:exon9:c.G988T:p.D330Y,C8B:NM_001278544:exon9:c.G958T:p.D320Y;C8B:uc001cyp.3:exon8:c.G1144T:p.D382Y,C8B:uc010oon.2:exon9:c.G958T:p.D320Y,C8B:uc010ooo.2:exon9:c.G988T:p.D330Y;C8B:ENST00000371237.9_9:exon8:c.G1144T:p.D382Y,C8B:ENST00000696164.1_1:exon9:c.G1144T:p.D382Y</t>
  </si>
  <si>
    <t xml:space="preserve">1.49406934497858e-09</t>
  </si>
  <si>
    <t xml:space="preserve">complement component 8, beta polypeptide</t>
  </si>
  <si>
    <t xml:space="preserve">FUNCTION: Constituent of the membrane attack complex (MAC) that plays a key role in the innate and adaptive immune response by forming pores in the plasma membrane of target cells.; </t>
  </si>
  <si>
    <t xml:space="preserve">DISEASE: Complement component 8 deficiency, 2 (C8D2) [MIM:613789]: A rare defect of the complement classical pathway associated with susceptibility to severe recurrent infections, predominantly by Neisseria gonorrhoeae or Neisseria meningitidis. Note=Disease susceptibility is associated with variations affecting the gene represented in this entry.; </t>
  </si>
  <si>
    <t xml:space="preserve">272.64</t>
  </si>
  <si>
    <t xml:space="preserve">12,10</t>
  </si>
  <si>
    <t xml:space="preserve">PDE6C:NM_006204:exon14:c.G1755T:p.K585N;PDE6C:uc001kiu.4:exon14:c.G1755T:p.K585N;PDE6C:ENST00000371447.4_3:exon14:c.G1755T:p.K585N</t>
  </si>
  <si>
    <t xml:space="preserve">7.4249966167879e-08</t>
  </si>
  <si>
    <t xml:space="preserve">phosphodiesterase 6C</t>
  </si>
  <si>
    <t xml:space="preserve">DISEASE: Cone dystrophy 4 (COD4) [MIM:613093]: An early-onset cone dystrophy. Cone dystrophies are retinal dystrophies characterized by progressive degeneration of the cone photoreceptors with preservation of rod function, as indicated by electroretinogram. However, some rod involvement may be present in some cone dystrophies, particularly at late stage. Affected individuals suffer from photophobia, loss of visual acuity, color vision and central visual field. Another sign is the absence of macular lesions for many years. Cone dystrophies are distinguished from the cone-rod dystrophies in which some loss of peripheral vision also occurs. {ECO:0000269|PubMed:19615668}. Note=The disease is caused by mutations affecting the gene represented in this entry.; </t>
  </si>
  <si>
    <t xml:space="preserve">576.64</t>
  </si>
  <si>
    <t xml:space="preserve">15,18</t>
  </si>
  <si>
    <t xml:space="preserve">UNKNOWN;LTBP4:uc002ooi.1:exon13:c.G2053A:p.D685N,LTBP4:uc002oog.1:exon16:c.G2143A:p.D715N,LTBP4:uc002ooh.1:exon16:c.G2254A:p.D752N;UNKNOWN</t>
  </si>
  <si>
    <t xml:space="preserve">0.99035873643018</t>
  </si>
  <si>
    <t xml:space="preserve">latent transforming growth factor beta binding protein 4</t>
  </si>
  <si>
    <t xml:space="preserve">FUNCTION: May be involved in the assembly, secretion and targeting of TGFB1 to sites at which it is stored and/or activated. May play critical roles in controlling and directing the activity of TGFB1. May have a structural role in the extra cellular matrix (ECM) (By similarity). {ECO:0000250}.; </t>
  </si>
  <si>
    <t xml:space="preserve">DISEASE: Urban-Rifkin-Davis syndrome (URDS) [MIM:613177]: A syndrome characterized by disrupted pulmonary, gastrointestinal, urinary, musculoskeletal, craniofacial and dermal development. Clinical features include cutis laxa, mild cardiovascular lesions, respiratory distress with cystic and atelectatic changes in the lungs, and diverticulosis, tortuosity and stenosis at various levels of the intestinal tract. Craniofacial features include microretrognathia, flat midface, receding forehead and wide fontanelles. {ECO:0000269|PubMed:19836010}. Note=The disease is caused by mutations affecting the gene represented in this entry.; </t>
  </si>
  <si>
    <t xml:space="preserve">21,6</t>
  </si>
  <si>
    <t xml:space="preserve">FBN2:NM_001999:exon33:c.G4312A:p.E1438K;FBN2:uc003kuv.2:exon32:c.G4213A:p.E1405K,FBN2:uc003kuu.3:exon33:c.G4312A:p.E1438K;FBN2:ENST00000507835.5_4:exon8:c.G862A:p.E288K,FBN2:ENST00000508989.5_4:exon32:c.G4213A:p.E1405K,FBN2:ENST00000262464.9_9:exon33:c.G4312A:p.E1438K,FBN2:ENST00000508053.5_8:exon39:c.G4312A:p.E1438K</t>
  </si>
  <si>
    <t xml:space="preserve">0.999999991794472</t>
  </si>
  <si>
    <t xml:space="preserve">fibrillin 2</t>
  </si>
  <si>
    <t xml:space="preserve">FUNCTION: Fibrillins are structural components of 10-12 nm extracellular calcium-binding microfibrils, which occur either in association with elastin or in elastin-free bundles. Fibrillin-2- containing microfibrils regulate the early process of elastic fiber assembly. Regulates osteoblast maturation by controlling TGF-beta bioavailability and calibrating TGF-beta and BMP levels, respectively (By similarity). {ECO:0000250|UniProtKB:Q61555}.; </t>
  </si>
  <si>
    <t xml:space="preserve">DISEASE: Macular degeneration, early-onset (EOMD) [MIM:616118]: An ocular disorder characterized by macular changes resulting in progressive loss of visual acuity. {ECO:0000269|PubMed:24899048}. Note=The disease is caused by mutations affecting the gene represented in this entry.; </t>
  </si>
  <si>
    <t xml:space="preserve">45,41</t>
  </si>
  <si>
    <t xml:space="preserve">CDSN:NM_001264:exon2:c.G1447A:p.A483T;CDSN:uc003nsm.2:exon2:c.G1447A:p.A483T;CDSN:ENST00000376288.3_5:exon2:c.G1447A:p.A483T</t>
  </si>
  <si>
    <t xml:space="preserve">0.499451801068193</t>
  </si>
  <si>
    <t xml:space="preserve">corneodesmosin</t>
  </si>
  <si>
    <t xml:space="preserve">FUNCTION: Important for the epidermal barrier integrity. {ECO:0000269|PubMed:20691404}.; </t>
  </si>
  <si>
    <t xml:space="preserve">DISEASE: Hypotrichosis 2 (HYPT2) [MIM:146520]: A condition characterized by the presence of less than the normal amount of hair. Affected individuals have normal hair in early childhood but experience progressive hair loss limited to the scalp beginning in the middle of the first decade and almost complete baldness by the third decade. Body hair, beard, eyebrows, axillary hair, teeth, and nails develop normally. {ECO:0000269|PubMed:12754508}. Note=The disease is caused by mutations affecting the gene represented in this entry.; DISEASE: Peeling skin syndrome 1 (PSS1) [MIM:270300]: A genodermatosis characterized by generalized, continuous shedding of the outer layers of the epidermis. Two main PSS subtypes have been suggested. Patients with non-inflammatory PSS (type A) manifest white scaling, with painless and easy removal of the skin, irritation when in contact with water, dust and sand, and no history of erythema, pruritis or atopy. Inflammatory PSS (type B) is associated with generalized erythema, pruritus and atopy. It is an ichthyosiform erythroderma characterized by lifelong patchy peeling of the entire skin with onset at birth or shortly after. Several patients have been reported with high IgE levels. {ECO:0000269|PubMed:20691404}. Note=The disease is caused by mutations affecting the gene represented in this entry. CDNS mutations are responsible for generalized, inflammatory peeling skin syndrome type B (PubMed:20691404). {ECO:0000269|PubMed:20691404}.; </t>
  </si>
  <si>
    <t xml:space="preserve">COQ4:NM_016035:exon5:c.G483C:p.E161D;COQ4:uc010mxy.3:exon4:c.G411C:p.E137D,COQ4:uc004bur.4:exon5:c.G483C:p.E161D;COQ4:ENST00000300452.8_3:exon5:c.G483C:p.E161D</t>
  </si>
  <si>
    <t xml:space="preserve">0.000292854581816104</t>
  </si>
  <si>
    <t xml:space="preserve">coenzyme Q4</t>
  </si>
  <si>
    <t xml:space="preserve">FUNCTION: Component of the coenzyme Q biosynthetic pathway. May play a role in organizing a multi-subunit COQ enzyme complex required for coenzyme Q biosynthesis. Required for steady-state levels of other COQ polypeptides. {ECO:0000255|HAMAP- Rule:MF_03111, ECO:0000269|PubMed:18474229}.; </t>
  </si>
  <si>
    <t xml:space="preserve">7,7</t>
  </si>
  <si>
    <t xml:space="preserve">STK4:NM_001352385:exon10:c.C1247T:p.P416L,STK4:NM_006282:exon10:c.C1247T:p.P416L;STK4:uc010ggy.3:exon9:c.C1082T:p.P361L,STK4:uc002xnb.3:exon10:c.C1247T:p.P416L,STK4:uc010ggx.3:exon10:c.C1247T:p.P416L;STK4:ENST00000499879.7_2:exon9:c.C1082T:p.P361L,STK4:ENST00000372801.5_3:exon10:c.C1247T:p.P416L,STK4:ENST00000372806.8_4:exon10:c.C1247T:p.P416L,STK4:ENST00000474717.3_4:exon10:c.C1019T:p.P340L</t>
  </si>
  <si>
    <t xml:space="preserve">0.118311921511212</t>
  </si>
  <si>
    <t xml:space="preserve">serine/threonine kinase 4</t>
  </si>
  <si>
    <t xml:space="preserve">FUNCTION: Stress-activated, pro-apoptotic kinase which, following caspase-cleavage, enters the nucleus and induces chromatin condensation followed by internucleosomal DNA fragmentation. Key component of the Hippo signaling pathway which plays a pivotal role in organ size control and tumor suppression by restricting proliferation and promoting apoptosis. The core of this pathway is composed of a kinase cascade wherein STK3/MST2 and STK4/MST1, in complex with its regulatory protein SAV1, phosphorylates and activates LATS1/2 in complex with its regulatory protein MOB1, which in turn phosphorylates and inactivates YAP1 oncoprotein and WWTR1/TAZ. Phosphorylation of YAP1 by LATS2 inhibits its translocation into the nucleus to regulate cellular genes important for cell proliferation, cell death, and cell migration. STK3/MST2 and STK4/MST1 are required to repress proliferation of mature hepatocytes, to prevent activation of facultative adult liver stem cells (oval cells), and to inhibit tumor formation (By similarity). Phosphorylates 'Ser-14' of histone H2B (H2BS14ph) during apoptosis. Phosphorylates FOXO3 upon oxidative stress, which results in its nuclear translocation and cell death initiation. Phosphorylates MOBKL1A, MOBKL1B and RASSF2. Phosphorylates TNNI3 (cardiac Tn-I) and alters its binding affinity to TNNC1 (cardiac Tn-C) and TNNT2 (cardiac Tn-T). Phosphorylates FOXO1 on 'Ser-212' and regulates its activation and stimulates transcription of PMAIP1 in a FOXO1-dependent manner. Phosphorylates SIRT1 and inhibits SIRT1-mediated p53/TP53 deacetylation, thereby promoting p53/TP53 dependent transcription and apoptosis upon DNA damage. Acts as an inhibitor of PKB/AKT1. Phosphorylates AR on 'Ser-650' and suppresses its activity by intersecting with PKB/AKT1 signaling and antagonizing formation of AR-chromatin complexes. {ECO:0000250, ECO:0000269|PubMed:11278283, ECO:0000269|PubMed:11517310, ECO:0000269|PubMed:12757711, ECO:0000269|PubMed:15109305, ECO:0000269|PubMed:16510573, ECO:0000269|PubMed:16751106, ECO:0000269|PubMed:16930133, ECO:0000269|PubMed:17932490, ECO:0000269|PubMed:18328708, ECO:0000269|PubMed:18986304, ECO:0000269|PubMed:19525978, ECO:0000269|PubMed:21212262, ECO:0000269|PubMed:21245099, ECO:0000269|PubMed:21512132, ECO:0000269|PubMed:8702870, ECO:0000269|PubMed:8816758}.; </t>
  </si>
  <si>
    <t xml:space="preserve">DISEASE: T-cell immunodeficiency, recurrent infections, and autoimmunity with or without cardiac malformations (TIIAC) [MIM:614868]: A primary T-cell immunodeficiency syndrome characterized by progressive loss of naive T-cells, recurrent bacterial, viral, and fungal infections, warts, and abscesses, autoimmune manifestations, and cardiac malformations, including atrial septal defect. {ECO:0000269|PubMed:22294732}. Note=The disease is caused by mutations affecting the gene represented in this entry.; </t>
  </si>
  <si>
    <t xml:space="preserve">594.64</t>
  </si>
  <si>
    <t xml:space="preserve">24,21</t>
  </si>
  <si>
    <t xml:space="preserve">BLVRA:NM_000712:exon4:c.A167G:p.Q56R,BLVRA:NM_001253823:exon5:c.A167G:p.Q56R;BLVRA:uc003tir.3:exon4:c.A167G:p.Q56R,BLVRA:uc010kxv.3:exon5:c.A167G:p.Q56R;BLVRA:ENST00000265523.9_3:exon4:c.A167G:p.Q56R,BLVRA:ENST00000402924.5_1:exon5:c.A167G:p.Q56R</t>
  </si>
  <si>
    <t xml:space="preserve">0.0832220297693768</t>
  </si>
  <si>
    <t xml:space="preserve">biliverdin reductase A</t>
  </si>
  <si>
    <t xml:space="preserve">FUNCTION: Reduces the gamma-methene bridge of the open tetrapyrrole, biliverdin IX alpha, to bilirubin with the concomitant oxidation of a NADH or NADPH cofactor.; </t>
  </si>
  <si>
    <t xml:space="preserve">48.64</t>
  </si>
  <si>
    <t xml:space="preserve">65,6</t>
  </si>
  <si>
    <t xml:space="preserve">PRAMEF1:NM_001294139:exon2:c.C311T:p.A104V,PRAMEF1:NM_023013:exon4:c.C1046T:p.A349V;PRAMEF1:uc001auj.2:exon4:c.C1046T:p.A349V;UNKNOWN</t>
  </si>
  <si>
    <t xml:space="preserve">0.0981051636001553</t>
  </si>
  <si>
    <t xml:space="preserve">PRAME family member 1</t>
  </si>
  <si>
    <t xml:space="preserve">50,17</t>
  </si>
  <si>
    <t xml:space="preserve">PRAMEF1:NM_001294139:exon2:c.T499C:p.Y167H,PRAMEF1:NM_023013:exon4:c.T1234C:p.Y412H;PRAMEF1:uc001auj.2:exon4:c.T1234C:p.Y412H;UNKNOWN</t>
  </si>
  <si>
    <t xml:space="preserve">81</t>
  </si>
  <si>
    <t xml:space="preserve">66,15</t>
  </si>
  <si>
    <t xml:space="preserve">IGSF3:NM_001007237:exon5:c.G1050C:p.K350N,IGSF3:NM_001542:exon5:c.G1050C:p.K350N;IGSF3:uc001egs.1:exon1:c.G69C:p.K23N,IGSF3:uc031pnr.1:exon4:c.G1050C:p.K350N,IGSF3:uc001egr.2:exon5:c.G1050C:p.K350N;IGSF3:ENST00000318837.6_5:exon4:c.G1050C:p.K350N,IGSF3:ENST00000369483.5_5:exon5:c.G1050C:p.K350N,IGSF3:ENST00000369486.8_8:exon5:c.G1050C:p.K350N</t>
  </si>
  <si>
    <t xml:space="preserve">284.64</t>
  </si>
  <si>
    <t xml:space="preserve">31,17</t>
  </si>
  <si>
    <t xml:space="preserve">IGSF3:NM_001007237:exon3:c.T151C:p.S51P,IGSF3:NM_001542:exon3:c.T151C:p.S51P;IGSF3:uc031pnr.1:exon2:c.T151C:p.S51P,IGSF3:uc001egr.2:exon3:c.T151C:p.S51P;IGSF3:ENST00000318837.6_5:exon2:c.T151C:p.S51P,IGSF3:ENST00000369483.5_5:exon3:c.T151C:p.S51P,IGSF3:ENST00000369486.8_8:exon3:c.T151C:p.S51P</t>
  </si>
  <si>
    <t xml:space="preserve">540.64</t>
  </si>
  <si>
    <t xml:space="preserve">24,18</t>
  </si>
  <si>
    <t xml:space="preserve">KRT82:NM_033033:exon9:c.G1487A:p.R496Q;KRT82:uc001sai.1:exon9:c.G1487A:p.R496Q;KRT82:ENST00000257974.3_5:exon9:c.G1487A:p.R496Q</t>
  </si>
  <si>
    <t xml:space="preserve">2.61197625522827e-16</t>
  </si>
  <si>
    <t xml:space="preserve">keratin 82</t>
  </si>
  <si>
    <t xml:space="preserve">ZNF280D:NM_001002843:exon21:c.G2702T:p.G901V,ZNF280D:NM_001288588:exon22:c.G2741T:p.G914V,ZNF280D:NM_017661:exon22:c.G2741T:p.G914V;ZNF280D:uc002adt.3:exon2:c.G464T:p.G155V,ZNF280D:uc002adv.3:exon21:c.G2702T:p.G901V,ZNF280D:uc002adu.3:exon22:c.G2741T:p.G914V,ZNF280D:uc010bfq.3:exon22:c.G2741T:p.G914V;ZNF280D:ENST00000559237.5_4:exon21:c.G2702T:p.G901V,ZNF280D:ENST00000267807.12_10:exon22:c.G2741T:p.G914V</t>
  </si>
  <si>
    <t xml:space="preserve">0.820128047448904</t>
  </si>
  <si>
    <t xml:space="preserve">zinc finger protein 280D</t>
  </si>
  <si>
    <t xml:space="preserve">FUNCTION: May function as a transcription factor.; </t>
  </si>
  <si>
    <t xml:space="preserve">495.64</t>
  </si>
  <si>
    <t xml:space="preserve">12,16</t>
  </si>
  <si>
    <t xml:space="preserve">PIGQ:NM_004204:exon2:c.G539A:p.R180H,PIGQ:NM_148920:exon2:c.G539A:p.R180H;PIGQ:uc002chm.3:exon2:c.G539A:p.R180H,PIGQ:uc002chn.3:exon2:c.G539A:p.R180H,PIGQ:uc002cho.3:exon2:c.G539A:p.R180H,PIGQ:uc010uui.2:exon2:c.G581A:p.R194H,PIGQ:uc010bqw.3:exon3:c.G539A:p.R180H;PIGQ:ENST00000026218.9_5:exon2:c.G539A:p.R180H,PIGQ:ENST00000321878.10_8:exon2:c.G539A:p.R180H,PIGQ:ENST00000422307.6_1:exon2:c.G539A:p.R180H,PIGQ:ENST00000470411.2_1:exon2:c.G539A:p.R180H,PIGQ:ENST00000409527.6_5:exon3:c.G539A:p.R180H</t>
  </si>
  <si>
    <t xml:space="preserve">3.38787210295676e-10</t>
  </si>
  <si>
    <t xml:space="preserve">phosphatidylinositol glycan anchor biosynthesis class Q</t>
  </si>
  <si>
    <t xml:space="preserve">FUNCTION: Part of the complex catalyzing the transfer of N- acetylglucosamine from UDP-N-acetylglucosamine to phosphatidylinositol, the first step of GPI biosynthesis.; </t>
  </si>
  <si>
    <t xml:space="preserve">707.64</t>
  </si>
  <si>
    <t xml:space="preserve">AHSP:NM_001318221:exon3:c.A224T:p.N75I,AHSP:NM_001318222:exon3:c.A224T:p.N75I,AHSP:NM_016633:exon3:c.A224T:p.N75I;AHSP:uc002ecj.3:exon3:c.A224T:p.N75I;AHSP:ENST00000302312.9_3:exon3:c.A224T:p.N75I</t>
  </si>
  <si>
    <t xml:space="preserve">0.00985693954905296</t>
  </si>
  <si>
    <t xml:space="preserve">alpha hemoglobin stabilizing protein</t>
  </si>
  <si>
    <t xml:space="preserve">FUNCTION: Acts as a chaperone to prevent the harmful aggregation of alpha-hemoglobin during normal erythroid cell development. Specifically protects free alpha-hemoglobin from precipitation. It is predicted to modulate pathological states of alpha-hemoglobin excess such as beta-thalassemia. {ECO:0000269|PubMed:12066189}.; </t>
  </si>
  <si>
    <t xml:space="preserve">149.64</t>
  </si>
  <si>
    <t xml:space="preserve">41,8</t>
  </si>
  <si>
    <t xml:space="preserve">88.64</t>
  </si>
  <si>
    <t xml:space="preserve">PPM1E:NM_014906:exon7:c.C2053T:p.P685S;PPM1E:uc010ddd.4:exon6:c.C1342T:p.P448S,PPM1E:uc002iwx.4:exon7:c.C2053T:p.P685S;PPM1E:ENST00000308249.4_3:exon7:c.C2053T:p.P685S</t>
  </si>
  <si>
    <t xml:space="preserve">0.973416928914191</t>
  </si>
  <si>
    <t xml:space="preserve">protein phosphatase, Mg2+/Mn2+ dependent 1E</t>
  </si>
  <si>
    <t xml:space="preserve">FUNCTION: Protein phosphatase that inactivates multifunctional CaM kinases such as CAMK4 and CAMK2 (By similarity). Dephosphorylates and inactivates PAK. May play a role in the inhibition of actin fiber stress breakdown and in morphological changes driven by TNK2/CDC42. Dephosphorylates PRKAA2 (By similarity). {ECO:0000250, ECO:0000269|PubMed:11864573}.; </t>
  </si>
  <si>
    <t xml:space="preserve">766.64</t>
  </si>
  <si>
    <t xml:space="preserve">55,26</t>
  </si>
  <si>
    <t xml:space="preserve">TNRC6C:NM_001142640:exon4:c.C1533A:p.N511K,TNRC6C:NM_018996:exon4:c.C1533A:p.N511K;TNRC6C:uc002jue.2:exon1:c.C1533A:p.N511K,TNRC6C:uc002jud.2:exon4:c.C1533A:p.N511K,TNRC6C:uc002juf.2:exon4:c.C1533A:p.N511K;TNRC6C:ENST00000636222.1_3:exon5:c.C2163A:p.N721K,TNRC6C:ENST00000696270.1_2:exon5:c.C2163A:p.N721K,TNRC6C:ENST00000696541.1_1:exon5:c.C2163A:p.N721K</t>
  </si>
  <si>
    <t xml:space="preserve">0.999997823984353</t>
  </si>
  <si>
    <t xml:space="preserve">trinucleotide repeat containing 6C</t>
  </si>
  <si>
    <t xml:space="preserve">FUNCTION: Plays a role in RNA-mediated gene silencing by micro- RNAs (miRNAs). Required for miRNA-dependent translational repression of complementary mRNAs by argonaute family proteins. As scaffoldng protein associates with argonaute proteins bound to partially complementary mRNAs and simultaneously can recruit CCR4- NOT and PAN deadenylase complexes. {ECO:0000269|PubMed:19304925, ECO:0000269|PubMed:21981923, ECO:0000269|PubMed:21984184, ECO:0000269|PubMed:21984185}.; </t>
  </si>
  <si>
    <t xml:space="preserve">361.64</t>
  </si>
  <si>
    <t xml:space="preserve">12,11</t>
  </si>
  <si>
    <t xml:space="preserve">PPP1R14A:NM_001243947:exon1:c.C193T:p.R65C,PPP1R14A:NM_033256:exon1:c.C193T:p.R65C;PPP1R14A:uc002ohq.3:exon1:c.C193T:p.R65C,PPP1R14A:uc010efv.3:exon1:c.C193T:p.R65C;PPP1R14A:ENST00000301242.9_5:exon1:c.C193T:p.R65C,PPP1R14A:ENST00000347262.8_3:exon1:c.C193T:p.R65C,PPP1R14A:ENST00000591291.5_3:exon1:c.C193T:p.R65C,PPP1R14A:ENST00000591585.1_3:exon1:c.C193T:p.R65C</t>
  </si>
  <si>
    <t xml:space="preserve">0.287406516614265</t>
  </si>
  <si>
    <t xml:space="preserve">protein phosphatase 1 regulatory inhibitor subunit 14A</t>
  </si>
  <si>
    <t xml:space="preserve">FUNCTION: Inhibitor of PPP1CA. Has over 1000-fold higher inhibitory activity when phosphorylated, creating a molecular switch for regulating the phosphorylation status of PPP1CA substrates and smooth muscle contraction.; </t>
  </si>
  <si>
    <t xml:space="preserve">3378.06</t>
  </si>
  <si>
    <t xml:space="preserve">0,106</t>
  </si>
  <si>
    <t xml:space="preserve">PTPRH:NM_001161440:exon12:c.G1958A:p.G653D,PTPRH:NM_002842:exon14:c.G2492A:p.G831D;PTPRH:uc010esv.3:exon12:c.G1958A:p.G653D,PTPRH:uc002qjq.3:exon14:c.G2492A:p.G831D;PTPRH:ENST00000263434.5_5:exon12:c.G1958A:p.G653D,PTPRH:ENST00000376350.8_7:exon14:c.G2492A:p.G831D</t>
  </si>
  <si>
    <t xml:space="preserve">5.09931564319084e-29</t>
  </si>
  <si>
    <t xml:space="preserve">protein tyrosine phosphatase, receptor type H</t>
  </si>
  <si>
    <t xml:space="preserve">FUNCTION: May contribute to contact inhibition of cell growth and motility by mediating the dephosphorylation of focal adhesion- associated substrates and thus negatively regulating integrin- promoted signaling processes. Induces apoptotic cell death by at least two distinct mechanisms: inhibition of cell survival signaling mediated by PI 3-kinase, Akt, and ILK and activation of a caspase-dependent proapoptotic pathway. Inhibits the basal activity of LCK and its activation in response to TCR stimulation and TCR-induced activation of MAP kinase and surface expression of CD69. Inhibits TCR-induced tyrosine phosphorylation of LAT and ZAP70. Inhibits both basal activity of DOK1 and its CD2-induced tyrosine phosphorylation. Induces dephosphorylation of p130cas, focal adhesion kinase and c-Src. Reduces migratory activity of Jurkat cells. {ECO:0000269|PubMed:11278335, ECO:0000269|PubMed:12101188, ECO:0000269|PubMed:12837766, ECO:0000269|PubMed:15850787}.; </t>
  </si>
  <si>
    <t xml:space="preserve">133.64</t>
  </si>
  <si>
    <t xml:space="preserve">CPB1:NM_001871:exon6:c.C516A:p.D172E;CPB1:uc003ewl.3:exon6:c.C516A:p.D172E;CPB1:ENST00000282957.9_4:exon6:c.C516A:p.D172E,CPB1:ENST00000491148.5_2:exon7:c.C516A:p.D172E</t>
  </si>
  <si>
    <t xml:space="preserve">2.26972023407954e-14</t>
  </si>
  <si>
    <t xml:space="preserve">carboxypeptidase B1</t>
  </si>
  <si>
    <t xml:space="preserve">1279.64</t>
  </si>
  <si>
    <t xml:space="preserve">51,40</t>
  </si>
  <si>
    <t xml:space="preserve">BOD1L1:NM_148894:exon10:c.A5324C:p.Q1775P;BOD1L1:uc003gmz.1:exon10:c.A5324C:p.Q1775P,BOD1L1:uc010idr.1:exon10:c.A3335C:p.Q1112P;BOD1L1:ENST00000040738.10_6:exon10:c.A5324C:p.Q1775P,BOD1L1:ENST00000507943.2_4:exon10:c.A5324C:p.Q1775P</t>
  </si>
  <si>
    <t xml:space="preserve">0.999528154229673</t>
  </si>
  <si>
    <t xml:space="preserve">biorientation of chromosomes in cell division 1 like 1</t>
  </si>
  <si>
    <t xml:space="preserve">FUNCTION: Component of the fork protection machinery required to protect stalled/damaged replication forks from uncontrolled DNA2- dependent resection. Acts by stabilizing RAD51 at stalled replication forks and protecting RAD51 nucleofilaments from the antirecombinogenic activities of FBXO18/FBH1 and BLM (PubMed:26166705). Does not regulate spindle orientation (PubMed:26166705). {ECO:0000269|PubMed:26166705}.; </t>
  </si>
  <si>
    <t xml:space="preserve">544.64</t>
  </si>
  <si>
    <t xml:space="preserve">14,18</t>
  </si>
  <si>
    <t xml:space="preserve">ABCA13:NM_152701:exon9:c.G927T:p.M309I;ABCA13:uc003toq.2:exon9:c.G927T:p.M309I;ABCA13:ENST00000435803.6_4:exon9:c.G927T:p.M309I</t>
  </si>
  <si>
    <t xml:space="preserve">3.30732765255053e-78</t>
  </si>
  <si>
    <t xml:space="preserve">ATP binding cassette subfamily A member 13</t>
  </si>
  <si>
    <t xml:space="preserve">267.64</t>
  </si>
  <si>
    <t xml:space="preserve">16,12</t>
  </si>
  <si>
    <t xml:space="preserve">TNIK:NM_001161566:exon20:c.A2444C:p.E815A,TNIK:NM_001161562:exon21:c.A2609C:p.E870A,TNIK:NM_001161564:exon21:c.A2531C:p.E844A,TNIK:NM_001161565:exon21:c.A2468C:p.E823A,TNIK:NM_001161560:exon22:c.A2696C:p.E899A,TNIK:NM_001161561:exon22:c.A2633C:p.E878A,TNIK:NM_001161563:exon22:c.A2555C:p.E852A,TNIK:NM_015028:exon23:c.A2720C:p.E907A;TNIK:uc003fhg.2:exon2:c.A254C:p.E85A,TNIK:uc003fho.2:exon20:c.A2444C:p.E815A,TNIK:uc003fhl.2:exon21:c.A2468C:p.E823A,TNIK:uc003fhm.2:exon21:c.A2531C:p.E844A,TNIK:uc003fhn.2:exon21:c.A2609C:p.E870A,TNIK:uc003fhi.2:exon22:c.A2555C:p.E852A,TNIK:uc003fhj.2:exon22:c.A2633C:p.E878A,TNIK:uc003fhk.2:exon22:c.A2696C:p.E899A,TNIK:uc003fhh.2:exon23:c.A2720C:p.E907A;TNIK:ENST00000475336.5_4:exon20:c.A2444C:p.E815A,TNIK:ENST00000341852.10_4:exon21:c.A2468C:p.E823A,TNIK:ENST00000460047.5_4:exon21:c.A2531C:p.E844A,TNIK:ENST00000470834.5_4:exon21:c.A2609C:p.E870A,TNIK:ENST00000284483.12_7:exon22:c.A2696C:p.E899A,TNIK:ENST00000357327.9_4:exon22:c.A2633C:p.E878A,TNIK:ENST00000488470.5_4:exon22:c.A2555C:p.E852A,TNIK:ENST00000436636.7_10:exon23:c.A2720C:p.E907A</t>
  </si>
  <si>
    <t xml:space="preserve">0.997185845677764</t>
  </si>
  <si>
    <t xml:space="preserve">TRAF2 and NCK interacting kinase</t>
  </si>
  <si>
    <t xml:space="preserve">FUNCTION: Serine/threonine kinase that acts as an essential activator of the Wnt signaling pathway. Recruited to promoters of Wnt target genes and required to activate their expression. May act by phosphorylating TCF4/TCF7L2. Appears to act upstream of the JUN N-terminal pathway. May play a role in the response to environmental stress. Part of a signaling complex composed of NEDD4, RAP2A and TNIK which regulates neuronal dendrite extension and arborization during development. More generally, it may play a role in cytoskeletal rearrangements and regulate cell spreading. Phosphorylates SMAD1 on Thr-322. {ECO:0000269|PubMed:10521462, ECO:0000269|PubMed:15342639, ECO:0000269|PubMed:19061864, ECO:0000269|PubMed:19816403, ECO:0000269|PubMed:20159449, ECO:0000269|PubMed:21690388}.; </t>
  </si>
  <si>
    <t xml:space="preserve">1121.64</t>
  </si>
  <si>
    <t xml:space="preserve">MYH11:NM_002474:exon40:c.G5676C:p.E1892D,MYH11:NM_022844:exon40:c.G5676C:p.E1892D,MYH11:NM_001040113:exon41:c.G5697C:p.E1899D,MYH11:NM_001040114:exon41:c.G5697C:p.E1899D;MYH11:uc010bvh.3:exon12:c.G1794C:p.E598D,MYH11:uc002ddw.3:exon40:c.G5676C:p.E1892D,MYH11:uc002ddy.3:exon40:c.G5676C:p.E1892D,MYH11:uc002ddv.3:exon41:c.G5697C:p.E1899D,MYH11:uc002ddx.3:exon41:c.G5697C:p.E1899D,MYH11:uc010bvg.3:exon41:c.G5172C:p.E1724D;MYH11:ENST00000300036.6_8:exon40:c.G5676C:p.E1892D,MYH11:ENST00000576790.7_4:exon40:c.G5676C:p.E1892D,MYH11:ENST00000396324.7_6:exon41:c.G5697C:p.E1899D,MYH11:ENST00000452625.7_6:exon41:c.G5697C:p.E1899D</t>
  </si>
  <si>
    <t xml:space="preserve">0.998956488496709</t>
  </si>
  <si>
    <t xml:space="preserve">myosin, heavy chain 11, smooth muscle</t>
  </si>
  <si>
    <t xml:space="preserve">FUNCTION: Muscle contraction.; </t>
  </si>
  <si>
    <t xml:space="preserve">DISEASE: Note=A chromosomal aberration involving MYH11 is found in acute myeloid leukemia of M4EO subtype. Pericentric inversion inv(16)(p13;q22). The inversion produces a fusion protein consisting of the 165 N-terminal residues of CBF-beta (PEPB2) and the tail region of MYH11.; DISEASE: Aortic aneurysm, familial thoracic 4 (AAT4) [MIM:132900]: A disease characterized by permanent dilation of the thoracic aorta usually due to degenerative changes in the aortic wall. It is primarily associated with a characteristic histologic appearance known as 'medial necrosis' or 'Erdheim cystic medial necrosis' in which there is degeneration and fragmentation of elastic fibers, loss of smooth muscle cells, and an accumulation of basophilic ground substance. {ECO:0000269|PubMed:16444274}. Note=The disease is caused by mutations affecting the gene represented in this entry.; </t>
  </si>
  <si>
    <t xml:space="preserve">20,5</t>
  </si>
  <si>
    <t xml:space="preserve">ECEL1:NM_001290787:exon2:c.C426A:p.D142E,ECEL1:NM_004826:exon2:c.C426A:p.D142E;ECEL1:uc010fya.1:exon1:c.C426A:p.D142E,ECEL1:uc002vsv.2:exon2:c.C426A:p.D142E;ECEL1:ENST00000409941.1_5:exon1:c.C426A:p.D142E,ECEL1:ENST00000304546.6_8:exon2:c.C426A:p.D142E</t>
  </si>
  <si>
    <t xml:space="preserve">9.10967319793021e-05</t>
  </si>
  <si>
    <t xml:space="preserve">endothelin converting enzyme-like 1</t>
  </si>
  <si>
    <t xml:space="preserve">FUNCTION: May contribute to the degradation of peptide hormones and be involved in the inactivation of neuronal peptides.; </t>
  </si>
  <si>
    <t xml:space="preserve">DISEASE: Arthrogryposis, distal, 5D (DA5D) [MIM:615065]: An autosomal recessive form of distal arthrogryposis, a disease characterized by congenital joint contractures that mainly involve two or more distal parts of the limbs, in the absence of a primary neurological or muscle disease. DA5D is characterized by severe camptodactyly of the hands, mild camptodactyly of the toes, clubfoot and/or a calcaneovalgus deformity, extension contractures of the knee, unilateral ptosis or ptosis that is more severe on one side, a round-shaped face, arched eyebrows, a bulbous upturned nose, and micrognathia. Patients do not have ophthalmoplegia. {ECO:0000269|PubMed:23236030, ECO:0000269|PubMed:23261301, ECO:0000269|PubMed:23808592, ECO:0000269|PubMed:23829171}. Note=The disease is caused by mutations affecting the gene represented in this entry. ECEL1 mutations have also been found in patients with arthrogryposis, significant ophthalmoplegia, and refractive errors (PubMed:23808592). {ECO:0000269|PubMed:23808592}.; </t>
  </si>
  <si>
    <t xml:space="preserve">1111.64</t>
  </si>
  <si>
    <t xml:space="preserve">28,38</t>
  </si>
  <si>
    <t xml:space="preserve">VPS37C:NM_017966:exon5:c.C428T:p.S143F;VPS37C:uc001nqv.1:exon5:c.C428T:p.S143F;VPS37C:ENST00000301765.10_5:exon5:c.C428T:p.S143F</t>
  </si>
  <si>
    <t xml:space="preserve">0.197171487861635</t>
  </si>
  <si>
    <t xml:space="preserve">VPS37C, ESCRT-I subunit</t>
  </si>
  <si>
    <t xml:space="preserve">FUNCTION: Component of the ESCRT-I complex, a regulator of vesicular trafficking process. Required for the sorting of endocytic ubiquitinated cargos into multivesicular bodies. May be involved in cell growth and differentiation. {ECO:0000269|PubMed:15509564}.; </t>
  </si>
  <si>
    <t xml:space="preserve">2,8</t>
  </si>
  <si>
    <t xml:space="preserve">HSPH1:NM_001286503:exon3:c.A181C:p.N61H,HSPH1:NM_001286504:exon3:c.A187C:p.N63H,HSPH1:NM_001286505:exon3:c.A187C:p.N63H,HSPH1:NM_001349704:exon3:c.A181C:p.N61H,HSPH1:NM_006644:exon3:c.A181C:p.N61H;HSPH1:uc001utj.3:exon3:c.A181C:p.N61H,HSPH1:uc001utk.3:exon3:c.A181C:p.N61H,HSPH1:uc001utl.3:exon3:c.A187C:p.N63H,HSPH1:uc010aaw.3:exon3:c.A181C:p.N61H,HSPH1:uc010aax.1:exon3:c.A187C:p.N63H,HSPH1:uc010aay.1:exon3:c.A187C:p.N63H,HSPH1:uc010tds.2:exon3:c.A187C:p.N63H;HSPH1:ENST00000320027.10_7:exon3:c.A181C:p.N61H,HSPH1:ENST00000380405.7_5:exon3:c.A181C:p.N61H,HSPH1:ENST00000445273.6_3:exon3:c.A187C:p.N63H,HSPH1:ENST00000630972.2_3:exon3:c.A187C:p.N63H</t>
  </si>
  <si>
    <t xml:space="preserve">0.983009121355496</t>
  </si>
  <si>
    <t xml:space="preserve">heat shock protein family H (Hsp110) member 1</t>
  </si>
  <si>
    <t xml:space="preserve">FUNCTION: Prevents the aggregation of denatured proteins in cells under severe stress, on which the ATP levels decrease markedly. Inhibits HSPA8/HSC70 ATPase and chaperone activities (By similarity). {ECO:0000250}.; </t>
  </si>
  <si>
    <t xml:space="preserve">353.64</t>
  </si>
  <si>
    <t xml:space="preserve">9,11</t>
  </si>
  <si>
    <t xml:space="preserve">EVPL:NM_001320747:exon5:c.A503G:p.Y168C,EVPL:NM_001988:exon5:c.A503G:p.Y168C;EVPL:uc002jqi.2:exon5:c.A503G:p.Y168C,EVPL:uc010wss.1:exon5:c.A503G:p.Y168C;EVPL:ENST00000301607.8_8:exon5:c.A503G:p.Y168C,EVPL:ENST00000586740.1_6:exon5:c.A503G:p.Y168C</t>
  </si>
  <si>
    <t xml:space="preserve">6.48709103471533e-14</t>
  </si>
  <si>
    <t xml:space="preserve">envoplakin</t>
  </si>
  <si>
    <t xml:space="preserve">FUNCTION: Component of the cornified envelope of keratinocytes. May link the cornified envelope to desmosomes and intermediate filaments.; </t>
  </si>
  <si>
    <t xml:space="preserve">822.64</t>
  </si>
  <si>
    <t xml:space="preserve">35,32</t>
  </si>
  <si>
    <t xml:space="preserve">EVPL:NM_001320747:exon4:c.C400T:p.R134C,EVPL:NM_001988:exon4:c.C400T:p.R134C;EVPL:uc002jqi.2:exon4:c.C400T:p.R134C,EVPL:uc010wss.1:exon4:c.C400T:p.R134C;EVPL:ENST00000301607.8_8:exon4:c.C400T:p.R134C,EVPL:ENST00000586740.1_6:exon4:c.C400T:p.R134C</t>
  </si>
  <si>
    <t xml:space="preserve">689.64</t>
  </si>
  <si>
    <t xml:space="preserve">35,22</t>
  </si>
  <si>
    <t xml:space="preserve">TUBB1:NM_030773:exon2:c.G112A:p.G38R;TUBB1:uc002yak.3:exon2:c.G112A:p.G38R;TUBB1:ENST00000217133.2_3:exon2:c.G112A:p.G38R</t>
  </si>
  <si>
    <t xml:space="preserve">7.16532359955701e-06</t>
  </si>
  <si>
    <t xml:space="preserve">tubulin beta 1 class VI</t>
  </si>
  <si>
    <t xml:space="preserve">FUNCTION: Tubulin is the major constituent of microtubules. It binds two moles of GTP, one at an exchangeable site on the beta chain and one at a non-exchangeable site on the alpha chain (By similarity). {ECO:0000250}.; </t>
  </si>
  <si>
    <t xml:space="preserve">DISEASE: Macrothrombocytopenia, autosomal dominant, TUBB1-related (MAD-TUBB1) [MIM:613112]: A congenital blood disorder characterized by increased platelet size and decreased number of circulating platelets. {ECO:0000269|PubMed:18849486}. Note=The disease is caused by mutations affecting the gene represented in this entry.; </t>
  </si>
  <si>
    <t xml:space="preserve">918.64</t>
  </si>
  <si>
    <t xml:space="preserve">30,29</t>
  </si>
  <si>
    <t xml:space="preserve">UTR5;intronic;ncRNA_intronic</t>
  </si>
  <si>
    <t xml:space="preserve">uc001hty.4:c.-3655G&gt;A;uc009xff.3:c.-3655G&gt;A</t>
  </si>
  <si>
    <t xml:space="preserve">1.57429487936421e-09</t>
  </si>
  <si>
    <t xml:space="preserve">angiotensinogen</t>
  </si>
  <si>
    <t xml:space="preserve">FUNCTION: Essential component of the renin-angiotensin system (RAS), a potent regulator of blood pressure, body fluid and electrolyte homeostasis.; FUNCTION: Angiotensin-3: stimulates aldosterone release.; </t>
  </si>
  <si>
    <t xml:space="preserve">DISEASE: Essential hypertension (EHT) [MIM:145500]: A condition in which blood pressure is consistently higher than normal with no identifiable cause. {ECO:0000269|PubMed:1394429, ECO:0000269|PubMed:8513325}. Note=Disease susceptibility is associated with variations affecting the gene represented in this entry.; DISEASE: Renal tubular dysgenesis (RTD) [MIM:267430]: Autosomal recessive severe disorder of renal tubular development characterized by persistent fetal anuria and perinatal death, probably due to pulmonary hypoplasia from early-onset oligohydramnios (the Potter phenotype). {ECO:0000269|PubMed:16116425}. Note=The disease is caused by mutations affecting the gene represented in this entry.; </t>
  </si>
  <si>
    <t xml:space="preserve">1046.64</t>
  </si>
  <si>
    <t xml:space="preserve">41,29</t>
  </si>
  <si>
    <t xml:space="preserve">NM_000875:c.*5151T&gt;C;NM_001291858:c.*5151T&gt;C;uc002bul.3:c.*5151T&gt;C;uc010bon.3:c.*5151T&gt;C</t>
  </si>
  <si>
    <t xml:space="preserve">628.64</t>
  </si>
  <si>
    <t xml:space="preserve">17,22</t>
  </si>
  <si>
    <t xml:space="preserve">UTR5;ncRNA_intronic</t>
  </si>
  <si>
    <t xml:space="preserve">NM_001256716:c.-845C&gt;T;NM_001256714:c.-44C&gt;T;NM_178837:c.-44C&gt;T</t>
  </si>
  <si>
    <t xml:space="preserve">3.21577634646308e-06</t>
  </si>
  <si>
    <t xml:space="preserve">dynein (axonemal) assembly factor 3</t>
  </si>
  <si>
    <t xml:space="preserve">FUNCTION: Required for the assembly of axonemal inner and outer dynein arms. Involved in preassembly of dyneins into complexes before their transport into cilia. {ECO:0000269|PubMed:22387996}.; </t>
  </si>
  <si>
    <t xml:space="preserve">DISEASE: Ciliary dyskinesia, primary, 2 (CILD2) [MIM:606763]: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{ECO:0000269|PubMed:22387996}. Note=The disease is caused by mutations affecting the gene represented in this entry.; </t>
  </si>
  <si>
    <t xml:space="preserve">NM_001429:c.*924T&gt;A;NM_001362843:c.*924T&gt;A;uc003azl.4:c.*924T&gt;A</t>
  </si>
  <si>
    <t xml:space="preserve">0.999999999999484</t>
  </si>
  <si>
    <t xml:space="preserve">E1A binding protein p300</t>
  </si>
  <si>
    <t xml:space="preserve">FUNCTION: Functions as histone acetyltransferase and regulates transcription via chromatin remodeling. Acetylates all four core histones in nucleosomes. Histone acetylation gives an epigenetic tag for transcriptional activation. Mediates cAMP-gene regulation by binding specifically to phosphorylated CREB protein. Mediates acetylation of histone H3 at 'Lys-122' (H3K122ac), a modification that localizes at the surface of the histone octamer and stimulates transcription, possibly by promoting nucleosome instability. Mediates acetylation of histone H3 at 'Lys-27' (H3K27ac). Also functions as acetyltransferase for nonhistone targets. Acetylates 'Lys-131' of ALX1 and acts as its coactivator. Acetylates SIRT2 and is proposed to indirectly increase the transcriptional activity of TP53 through acetylation and subsequent attenuation of SIRT2 deacetylase function. Acetylates HDAC1 leading to its inactivation and modulation of transcription. Acts as a TFAP2A-mediated transcriptional coactivator in presence of CITED2. Plays a role as a coactivator of NEUROD1-dependent transcription of the secretin and p21 genes and controls terminal differentiation of cells in the intestinal epithelium. Promotes cardiac myocyte enlargement. Can also mediate transcriptional repression. Binds to and may be involved in the transforming capacity of the adenovirus E1A protein. In case of HIV-1 infection, it is recruited by the viral protein Tat. Regulates Tat's transactivating activity and may help inducing chromatin remodeling of proviral genes. Acetylates FOXO1 and enhances its transcriptional activity. Acetylates BCL6 wich disrupts its ability to recruit histone deacetylases and hinders its transcriptional repressor activity. Participates in CLOCK or NPAS2-regulated rhythmic gene transcription; exhibits a circadian association with CLOCK or NPAS2, correlating with increase in PER1/2 mRNA and histone H3 acetylation on the PER1/2 promoter. Acetylates MTA1 at 'Lys-626' which is essential for its transcriptional coactivator activity (PubMed:10733570, PubMed:11430825, PubMed:11701890, PubMed:12402037, PubMed:12586840, PubMed:12929931, PubMed:14645221, PubMed:15186775, PubMed:15890677, PubMed:16617102, PubMed:16762839, PubMed:18722353, PubMed:18995842, PubMed:23415232, PubMed:23911289, PubMed:23934153, PubMed:8945521). Acetylates XBP1 isoform 2; acetylation increases protein stability of XBP1 isoform 2 and enhances its transcriptional activity (PubMed:20955178). Acetylates PCNA; acetylation promotes removal of chromatin-bound PCNA and its degradation during nucleotide excision repair (NER) (PubMed:24939902). Acetylates MEF2D. {ECO:0000269|PubMed:10733570, ECO:0000269|PubMed:11430825, ECO:0000269|PubMed:11701890, ECO:0000269|PubMed:12402037, ECO:0000269|PubMed:12586840, ECO:0000269|PubMed:12929931, ECO:0000269|PubMed:14645221, ECO:0000269|PubMed:15186775, ECO:0000269|PubMed:15890677, ECO:0000269|PubMed:16617102, ECO:0000269|PubMed:16762839, ECO:0000269|PubMed:18722353, ECO:0000269|PubMed:18995842, ECO:0000269|PubMed:21030595, ECO:0000269|PubMed:23415232, ECO:0000269|PubMed:23911289, ECO:0000269|PubMed:23934153, ECO:0000269|PubMed:24939902, ECO:0000269|PubMed:8945521, ECO:0000305|PubMed:20955178}.; </t>
  </si>
  <si>
    <t xml:space="preserve">DISEASE: Note=Defects in EP300 may play a role in epithelial cancer.; DISEASE: Note=Chromosomal aberrations involving EP300 may be a cause of acute myeloid leukemias. Translocation t(8;22)(p11;q13) with KAT6A.; DISEASE: Rubinstein-Taybi syndrome 2 (RSTS2) [MIM:613684]: A disorder characterized by craniofacial abnormalities, postnatal growth deficiency, broad thumbs, broad big toes, mental retardation and a propensity for development of malignancies. Some individuals with RSTS2 have less severe mental impairment, more severe microcephaly, and a greater degree of changes in facial bone structure than RSTS1 patients. {ECO:0000269|PubMed:15706485}. Note=The disease is caused by mutations affecting the gene represented in this entry.; </t>
  </si>
  <si>
    <t xml:space="preserve">584.60</t>
  </si>
  <si>
    <t xml:space="preserve">unknown</t>
  </si>
  <si>
    <t xml:space="preserve">UNKNOWN;UNKNOWN;UNKNOWN</t>
  </si>
  <si>
    <t xml:space="preserve">1.08497392205754e-07</t>
  </si>
  <si>
    <t xml:space="preserve">selenoprotein N, 1</t>
  </si>
  <si>
    <t xml:space="preserve">DISEASE: Rigid spine muscular dystrophy 1 (RSMD1) [MIM:602771]: A neuromuscular disorder characterized by poor axial muscle strength, scoliosis and neck weakness, and a variable degree of spinal rigidity. Early ventilatory insufficiency can lead to death by respiratory failure. {ECO:0000269|PubMed:11528383, ECO:0000269|PubMed:12192640, ECO:0000269|PubMed:15122708, ECO:0000269|PubMed:19067361}. Note=The disease is caused by mutations affecting the gene represented in this entry.; </t>
  </si>
  <si>
    <t xml:space="preserve">33.60</t>
  </si>
  <si>
    <t xml:space="preserve">frameshift insertion</t>
  </si>
  <si>
    <t xml:space="preserve">CP:NM_000096:exon3:c.606dupA:p.D203Rfs*5;CP:uc003ewy.4:exon3:c.606dupA:p.D203Rfs*5,CP:uc003ewz.3:exon3:c.606dupA:p.D203Rfs*5;CP:ENST00000264613.11_5:exon3:c.606dupA:p.D203Rfs*5</t>
  </si>
  <si>
    <t xml:space="preserve">0.000168752233046611</t>
  </si>
  <si>
    <t xml:space="preserve">ceruloplasmin (ferroxidase)</t>
  </si>
  <si>
    <t xml:space="preserve">FUNCTION: Ceruloplasmin is a blue, copper-binding (6-7 atoms per molecule) glycoprotein. It has ferroxidase activity oxidizing Fe(2+) to Fe(3+) without releasing radical oxygen species. It is involved in iron transport across the cell membrane. Provides Cu(2+) ions for the ascorbate-mediated deaminase degradation of the heparan sulfate chains of GPC1. May also play a role in fetal lung development or pulmonary antioxidant defense (By similarity). {ECO:0000250}.; </t>
  </si>
  <si>
    <t xml:space="preserve">DISEASE: Note=Ceruloplasmin levels are decreased in Wilson disease, in which copper cannot be incorporated into ceruloplasmin in liver because of defects in the copper-transporting ATPase 2.; </t>
  </si>
  <si>
    <t xml:space="preserve">29,5</t>
  </si>
  <si>
    <t xml:space="preserve">intronic;ncRNA_intronic</t>
  </si>
  <si>
    <t xml:space="preserve">on</t>
  </si>
  <si>
    <t xml:space="preserve">0.982118837885542</t>
  </si>
  <si>
    <t xml:space="preserve">ATP binding cassette subfamily D member 1</t>
  </si>
  <si>
    <t xml:space="preserve">FUNCTION: Probable transporter. The nucleotide-binding fold acts as an ATP-binding subunit with ATPase activity. {ECO:0000269|PubMed:11248239}.; </t>
  </si>
  <si>
    <t xml:space="preserve">DISEASE: Adrenoleukodystrophy (ALD) [MIM:300100]: A peroxisomal metabolic disorder characterized by progressive multifocal demyelination of the central nervous system and by peripheral adrenal insufficiency (Addison disease). It results in mental deterioration, corticospinal tract dysfunction, and cortical blindness. Different clinical manifestations exist like: cerebral childhood ALD (CALD), adult cerebral ALD (ACALD), adrenomyeloneuropathy (AMN) and 'Addison disease only' (ADO) phenotype. {ECO:0000269|PubMed:10369742, ECO:0000269|PubMed:10480364, ECO:0000269|PubMed:10737980, ECO:0000269|PubMed:10980539, ECO:0000269|PubMed:11438993, ECO:0000269|PubMed:11810273, ECO:0000269|PubMed:15643618, ECO:0000269|PubMed:21700483, ECO:0000269|PubMed:21889498, ECO:0000269|PubMed:7581394, ECO:0000269|PubMed:7717396, ECO:0000269|PubMed:7825602, ECO:0000269|PubMed:7849723, ECO:0000269|PubMed:7904210, ECO:0000269|PubMed:8040304, ECO:0000269|PubMed:8566952, ECO:0000269|PubMed:8651290, ECO:0000269|PubMed:9452087}. Note=The disease is caused by mutations affecting the gene represented in this entry.; DISEASE: Note=The promoter region of ABCD1 is deleted in the chromosome Xq28 deletion syndrome which involves ABCD1 and the neighboring gene BCAP31. {ECO:0000269|PubMed:11992258}.; </t>
  </si>
  <si>
    <t xml:space="preserve">325.64</t>
  </si>
  <si>
    <t xml:space="preserve">20,12</t>
  </si>
  <si>
    <t xml:space="preserve">243.60</t>
  </si>
  <si>
    <t xml:space="preserve">CCDC39:NM_181426:exon19:c.2660dupT:p.S888Ifs*6;CCDC39:uc010hxe.3:exon19:c.2660dupT:p.S888Ifs*6;CCDC39:ENST00000651046.1_3:exon18:c.2468dupT:p.S824Ifs*6,CCDC39:ENST00000476379.6_7:exon19:c.2660dupT:p.S888Ifs*6</t>
  </si>
  <si>
    <t xml:space="preserve">5.10298688091632e-05</t>
  </si>
  <si>
    <t xml:space="preserve">coiled-coil domain containing 39</t>
  </si>
  <si>
    <t xml:space="preserve">FUNCTION: Required for assembly of dynein regulatory complex (DRC) and inner dynein arm (IDA) complexes, which are responsible for ciliary beat regulation, thereby playing a central role in motility in cilia and flagella (PubMed:21131972). Probably acts together with CCDC40 to form a molecular ruler that determines the 96 nanometer (nm) repeat length and arrangements of components in cilia and flagella (By similarity). Not required for outer dynein arm complexes assembly (PubMed:21131972). {ECO:0000250|UniProtKB:A8IQT2, ECO:0000269|PubMed:21131972}.; </t>
  </si>
  <si>
    <t xml:space="preserve">515.64</t>
  </si>
  <si>
    <t xml:space="preserve">31,19</t>
  </si>
  <si>
    <t xml:space="preserve">0.000436998677210205</t>
  </si>
  <si>
    <t xml:space="preserve">phosphoglycerate dehydrogenase</t>
  </si>
  <si>
    <t xml:space="preserve">DISEASE: Phosphoglycerate dehydrogenase deficiency (PHGDHD) [MIM:601815]: An autosomal recessive inborn error of L-serine biosynthesis, clinically characterized by congenital microcephaly, psychomotor retardation, and seizures. {ECO:0000269|PubMed:11055895, ECO:0000269|PubMed:19235232}. Note=The disease is caused by mutations affecting the gene represented in this entry.; DISEASE: Neu-Laxova syndrome 1 (NLS1) [MIM:256520]: A lethal, autosomal recessive multiple malformation syndrome characterized by ichthyosis, marked intrauterine growth restriction, microcephaly, short neck, limb deformities, hypoplastic lungs, edema, and central nervous system anomalies including lissencephaly, cerebellar hypoplasia and/or abnormal/agenesis of the corpus callosum. Abnormal facial features include severe proptosis with ectropion, hypertelorism, micrognathia, flattened nose, and malformed ears. {ECO:0000269|PubMed:24836451}. Note=The disease is caused by mutations affecting the gene represented in this entry.; </t>
  </si>
  <si>
    <t xml:space="preserve">641.64</t>
  </si>
  <si>
    <t xml:space="preserve">20,19</t>
  </si>
  <si>
    <t xml:space="preserve">2.29011817971014e-18</t>
  </si>
  <si>
    <t xml:space="preserve">intraflagellar transport 172</t>
  </si>
  <si>
    <t xml:space="preserve">FUNCTION: Required for the maintenance and formation of cilia. Plays an indirect role in hedgehog (Hh) signaling, cilia being required for all activity of the hedgehog pathway (By similarity). {ECO:0000250}.; </t>
  </si>
  <si>
    <t xml:space="preserve">DISEASE: Short-rib thoracic dysplasia 10 with or without polydactyly (SRTD10) [MIM:615630]: A form of short-rib thoracic dysplasia, a group of autosomal recessive ciliopathies that are characterized by a constricted thoracic cage, short ribs, shortened tubular bones, and a 'trident' appearance of the acetabular roof. Polydactyly is variably present. Non-skeletal involvement can include cleft lip/palate as well as anomalies of major organs such as the brain, eye, heart, kidneys, liver, pancreas, intestines, and genitalia. Some forms of the disease are lethal in the neonatal period due to respiratory insufficiency secondary to a severely restricted thoracic cage, whereas others are compatible with life. Disease spectrum encompasses Ellis-van Creveld syndrome, asphyxiating thoracic dystrophy (Jeune syndrome), Mainzer-Saldino syndrome, and short rib-polydactyly syndrome. {ECO:0000269|PubMed:24140113}. Note=The disease is caused by mutations affecting the gene represented in this entry.; DISEASE: Retinitis pigmentosa 71 (RP71) [MIM:616394]: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{ECO:0000269|PubMed:25168386}. Note=The disease is caused by mutations affecting the gene represented in this entry.; </t>
  </si>
  <si>
    <t xml:space="preserve">GACAGGTGAGCCCTTCCTTCCTCCCTCCATCCGC</t>
  </si>
  <si>
    <t xml:space="preserve">44.60</t>
  </si>
  <si>
    <t xml:space="preserve">21,4</t>
  </si>
  <si>
    <t xml:space="preserve">FAM20C:NM_020223:exon4:c.951_952insGACAGGTGAGCCCTTCCTTCCTCCCTCCATCCGC:p.I320*;FAM20C:uc003sip.3:exon4:c.951_952insGACAGGTGAGCCCTTCCTTCCTCCCTCCATCCGC:p.I320*;FAM20C:ENST00000313766.5:exon4:c.951_952insGACAGGTGAGCCCTTCCTTCCTCCCTCCATCCGC:p.I320*</t>
  </si>
  <si>
    <t xml:space="preserve">0.587993382102887</t>
  </si>
  <si>
    <t xml:space="preserve">family with sequence similarity 20 member C</t>
  </si>
  <si>
    <t xml:space="preserve">FUNCTION: Golgi serine/threonine protein kinase that phosphorylates secretory pathway proteins within Ser-x-Glu/pSer motifs and plays a key role in biomineralization of bones and teeth (PubMed:22582013, PubMed:23754375, PubMed:25789606). Constitutes the main protein kinase for extracellular proteins, generating the majority of the extracellular phosphoproteome (PubMed:26091039). Mainly phosphorylates proteins within the Ser- x-Glu/pSer motif, but also displays a broader substrate specificity (PubMed:26091039). Phosphorylates casein as well as a number of proteins involved in biomineralization such as AMELX, AMTN, ENAM and SPP1 (PubMed:22582013, PubMed:25789606). In addition to its role in biomineralization, also plays a role in lipid homeostasis, wound healing and cell migration and adhesion (PubMed:26091039). {ECO:0000269|PubMed:22582013, ECO:0000269|PubMed:23754375, ECO:0000269|PubMed:25789606, ECO:0000269|PubMed:26091039}.; </t>
  </si>
  <si>
    <t xml:space="preserve">DISEASE: Raine syndrome (RNS) [MIM:259775]: Autosomal recessive osteosclerotic bone dysplasia with neonatal lethal outcome. Clinical features include generalized osteosclerosis, craniofacial dysplasia and microcephaly. {ECO:0000269|PubMed:17924334, ECO:0000269|PubMed:22582013, ECO:0000269|PubMed:25789606}. Note=The disease is caused by mutations affecting the gene represented in this entry.; </t>
  </si>
  <si>
    <t xml:space="preserve">733.60</t>
  </si>
  <si>
    <t xml:space="preserve">56,26</t>
  </si>
  <si>
    <t xml:space="preserve">CDK11A:NM_001313896:exon16:c.1744dupT:p.Y582Lfs*66,CDK11A:NM_001313982:exon16:c.1732dupT:p.Y578Lfs*66,CDK11A:NM_024011:exon16:c.1735dupT:p.Y579Lfs*66,CDK11A:NM_033529:exon16:c.1705dupT:p.Y569Lfs*66;CDK11A:uc001ahj.4:exon6:c.256dupT:p.Y86Lfs*66,CDK11A:uc009vkp.3:exon8:c.586dupT:p.Y196Lfs*66,CDK11A:uc009vkr.3:exon16:c.1705dupT:p.Y569Lfs*66,CDK11A:uc009vks.3:exon16:c.1735dupT:p.Y579Lfs*66;CDK11A:ENST00000356200.7_6:exon15:c.1633dupT:p.Y545Lfs*66,CDK11A:ENST00000357760.6_6:exon16:c.1732dupT:p.Y578Lfs*66,CDK11A:ENST00000358779.9_5:exon16:c.1705dupT:p.Y569Lfs*66,CDK11A:ENST00000378633.5_6:exon16:c.1744dupT:p.Y582Lfs*66,CDK11A:ENST00000378638.6_6:exon16:c.1633dupT:p.Y545Lfs*66,CDK11A:ENST00000404249.8_6:exon16:c.1735dupT:p.Y579Lfs*66</t>
  </si>
  <si>
    <t xml:space="preserve">5.23535259576534e-05</t>
  </si>
  <si>
    <t xml:space="preserve">cyclin-dependent kinase 11A</t>
  </si>
  <si>
    <t xml:space="preserve">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t>
  </si>
  <si>
    <t xml:space="preserve">0.999999999958917</t>
  </si>
  <si>
    <t xml:space="preserve">kinesin family member 1B</t>
  </si>
  <si>
    <t xml:space="preserve">FUNCTION: Motor for anterograde transport of mitochondria. Has a microtubule plus end-directed motility. Isoform 2 is required for induction of neuronal apoptosis. {ECO:0000269|PubMed:18334619}.; </t>
  </si>
  <si>
    <t xml:space="preserve">DISEASE: Neuroblastoma 1 (NBLST1) [MIM:256700]: A common neoplasm of early childhood arising from embryonic cells that form the primitive neural crest and give rise to the adrenal medulla and the sympathetic nervous system. Note=Disease susceptibility is associated with variations affecting the gene represented in this entry.; DISEASE: Pheochromocytoma (PCC) [MIM:171300]: A catecholamine- producing tumor of chromaffin tissue of the adrenal medulla or sympathetic paraganglia. The cardinal symptom, reflecting the increased secretion of epinephrine and norepinephrine, is hypertension, which may be persistent or intermittent. {ECO:0000269|PubMed:18334619}. Note=Disease susceptibility is associated with variations affecting the gene represented in this entry.; </t>
  </si>
  <si>
    <t xml:space="preserve">PD</t>
  </si>
  <si>
    <t xml:space="preserve">0.285437974687136</t>
  </si>
  <si>
    <t xml:space="preserve">PRAME family member 11</t>
  </si>
  <si>
    <t xml:space="preserve">675.64</t>
  </si>
  <si>
    <t xml:space="preserve">18,22</t>
  </si>
  <si>
    <t xml:space="preserve">RAP1GAP:NM_001330383:exon20:c.G1628A:p.R543H,RAP1GAP:NM_001350524:exon21:c.G1628A:p.R543H;RAP1GAP:uc001bev.3:exon16:c.G1628A:p.R543H;RAP1GAP:ENST00000374763.6_4:exon16:c.G1628A:p.R543H</t>
  </si>
  <si>
    <t xml:space="preserve">0.974156915163255</t>
  </si>
  <si>
    <t xml:space="preserve">RAP1 GTPase activating protein</t>
  </si>
  <si>
    <t xml:space="preserve">FUNCTION: GTPase activator for the nuclear Ras-related regulatory protein RAP-1A (KREV-1), converting it to the putatively inactive GDP-bound state. {ECO:0000269|PubMed:15141215}.; </t>
  </si>
  <si>
    <t xml:space="preserve">34.60</t>
  </si>
  <si>
    <t xml:space="preserve">frameshift deletion</t>
  </si>
  <si>
    <t xml:space="preserve">C1orf50:NM_024097:exon4:c.409delC:p.P137Qfs*39;C1orf50:uc001cia.4:exon4:c.409delC:p.P137Qfs*39;C1orf50:ENST00000372525.7_4:exon4:c.409delC:p.P137Qfs*39</t>
  </si>
  <si>
    <t xml:space="preserve">0.00701592646307591</t>
  </si>
  <si>
    <t xml:space="preserve">chromosome 1 open reading frame 50</t>
  </si>
  <si>
    <t xml:space="preserve">235.64</t>
  </si>
  <si>
    <t xml:space="preserve">UTR3;ncRNA_exonic</t>
  </si>
  <si>
    <t xml:space="preserve">NM_006492:c.*69T&gt;C;uc001dzb.3:c.*69T&gt;C</t>
  </si>
  <si>
    <t xml:space="preserve">0.208670051874219</t>
  </si>
  <si>
    <t xml:space="preserve">ALX homeobox 3</t>
  </si>
  <si>
    <t xml:space="preserve">FUNCTION: Transcriptional regulator with a possible role in patterning of mesoderm during development. {ECO:0000250}.; </t>
  </si>
  <si>
    <t xml:space="preserve">DISEASE: Frontonasal dysplasia 1 (FND1) [MIM:136760]: The term frontonasal dysplasia describes an array of abnormalities affecting the eyes, forehead and nose and linked to midfacial dysraphia. The clinical picture is highly variable. Major findings include true ocular hypertelorism; broadening of the nasal root; median facial cleft affecting the nose and/or upper lip and palate; unilateral or bilateral clefting of the alae nasi; lack of formation of the nasal tip; anterior cranium bifidum occultum; a V-shaped or widow's peak frontal hairline. {ECO:0000269|PubMed:19409524}. Note=The disease is caused by mutations affecting the gene represented in this entry.; </t>
  </si>
  <si>
    <t xml:space="preserve">213.64</t>
  </si>
  <si>
    <t xml:space="preserve">23,7</t>
  </si>
  <si>
    <t xml:space="preserve">CTTGAAGTAT</t>
  </si>
  <si>
    <t xml:space="preserve">40.60</t>
  </si>
  <si>
    <t xml:space="preserve">WDR3:NM_006784:exon3:c.336_345del:p.L113Ifs*3;WDR3:uc010oxe.1:exon3:c.336_345del:p.L113Ifs*3;WDR3:ENST00000349139.6_3:exon3:c.336_345del:p.L113Ifs*3</t>
  </si>
  <si>
    <t xml:space="preserve">3.05076498982483e-07</t>
  </si>
  <si>
    <t xml:space="preserve">WD repeat domain 3</t>
  </si>
  <si>
    <t xml:space="preserve">intergenic;intronic</t>
  </si>
  <si>
    <t xml:space="preserve">dist=3662;dist=25826</t>
  </si>
  <si>
    <t xml:space="preserve">0.99999323549835</t>
  </si>
  <si>
    <t xml:space="preserve">Rho/Rac guanine nucleotide exchange factor 2</t>
  </si>
  <si>
    <t xml:space="preserve">FUNCTION: Activates Rho-GTPases by promoting the exchange of GDP for GTP. May be involved in epithelial barrier permeability, cell motility and polarization, dendritic spine morphology, antigen presentation, leukemic cell differentiation, cell cycle regulation, innate immune response, and cancer. Binds Rac-GTPases, but does not seem to promote nucleotide exchange activity toward Rac-GTPases, which was uniquely reported in PubMed:9857026. May stimulate instead the cortical activity of Rac. Inactive toward CDC42, TC10, or Ras-GTPases. Forms an intracellular sensing system along with NOD1 for the detection of microbial effectors during cell invasion by pathogens. Required for RHOA and RIP2 dependent NF-kappaB signaling pathways activation upon S.flexneri cell invasion. Involved not only in sensing peptidoglycan (PGN)-derived muropeptides through NOD1 that is independent of its GEF activity, but also in the activation of NF-kappaB by Shigella effector proteins (IpgB2 and OspB) which requires its GEF activity and the activation of RhoA. Involved in innate immune signaling transduction pathway promoting cytokine IL6/interleukin-6 and TNF- alpha secretion in macrophage upon stimulation by bacterial peptidoglycans; acts as a signaling intermediate between NOD2 receptor and RIPK2 kinase. Contributes to the tyrosine phosphorylation of RIPK2 through Src tyrosine kinase leading to NF-kappaB activation by NOD2. {ECO:0000269|PubMed:19043560, ECO:0000269|PubMed:21887730, ECO:0000269|PubMed:9857026}.; </t>
  </si>
  <si>
    <t xml:space="preserve">663.64</t>
  </si>
  <si>
    <t xml:space="preserve">RGSL1:NM_001366934:exon5:c.G358C:p.G120R;RGSL1:uc021pfx.1:exon5:c.G358C:p.G120R</t>
  </si>
  <si>
    <t xml:space="preserve">4/5</t>
  </si>
  <si>
    <t xml:space="preserve">regulator of G-protein signaling like 1</t>
  </si>
  <si>
    <t xml:space="preserve">5,5</t>
  </si>
  <si>
    <t xml:space="preserve">0.571303026474837</t>
  </si>
  <si>
    <t xml:space="preserve">BicC family RNA binding protein 1</t>
  </si>
  <si>
    <t xml:space="preserve">FUNCTION: Putative RNA-binding protein. Acts as a negative regulator of Wnt signaling. May be involved in regulating gene expression during embryonic development. {ECO:0000269|PubMed:21922595}.; </t>
  </si>
  <si>
    <t xml:space="preserve">DISEASE: Renal dysplasia, cystic (CYSRD) [MIM:601331]: An anomaly of the kidney characterized by numerous renal cysts and apparent disorder of differentiation of the renal parenchyma. Kidney of affected individuals lack the normal renal bean shape, and the collection drainage system. The cystic, dysplastic kidney contains undifferentiated mesenchyme, cartilaginous tissue, and immature collecting ducts. {ECO:0000269|PubMed:21922595}. Note=Disease susceptibility is associated with variations affecting the gene represented in this entry.; </t>
  </si>
  <si>
    <t xml:space="preserve">257.64</t>
  </si>
  <si>
    <t xml:space="preserve">10,8</t>
  </si>
  <si>
    <t xml:space="preserve">2.33178919110162e-06</t>
  </si>
  <si>
    <t xml:space="preserve">ADAM metallopeptidase with thrombospondin type 1 motif 14</t>
  </si>
  <si>
    <t xml:space="preserve">FUNCTION: Has a aminoprocollagen type I activity processing activity in the absence of ADAMTS2. Seems to be synthesized as a latent enzyme that requires activation to display aminoprocollagen peptidase activity.; </t>
  </si>
  <si>
    <t xml:space="preserve">226.64</t>
  </si>
  <si>
    <t xml:space="preserve">0.052949614092355</t>
  </si>
  <si>
    <t xml:space="preserve">N-deacetylase/N-sulfotransferase 2</t>
  </si>
  <si>
    <t xml:space="preserve">FUNCTION: Essential bifunctional enzyme that catalyzes both the N- deacetylation and the N-sulfation of glucosamine (GlcNAc) of the glycosaminoglycan in heparan sulfate. Modifies the GlcNAc-GlcA disaccharide repeating sugar backbone to make N-sulfated heparosan, a prerequisite substrate for later modifications in heparin biosynthesis. Plays a role in determining the extent and pattern of sulfation of heparan sulfate. {ECO:0000269|PubMed:10758005, ECO:0000269|PubMed:12634318, ECO:0000269|PubMed:16343444}.; </t>
  </si>
  <si>
    <t xml:space="preserve">2.14384718511001e-08</t>
  </si>
  <si>
    <t xml:space="preserve">sorbin and SH3 domain containing 1</t>
  </si>
  <si>
    <t xml:space="preserve">FUNCTION: Plays a role in tyrosine phosphorylation of CBL by linking CBL to the insulin receptor. Required for insulin- stimulated glucose transport. Involved in formation of actin stress fibers and focal adhesions (By similarity). {ECO:0000250|UniProtKB:Q62417}.; </t>
  </si>
  <si>
    <t xml:space="preserve">GC</t>
  </si>
  <si>
    <t xml:space="preserve">165.60</t>
  </si>
  <si>
    <t xml:space="preserve">68,9</t>
  </si>
  <si>
    <t xml:space="preserve">CTBP2:NM_001363508:exon2:c.390_391del:p.Q131Vfs*46,CTBP2:NM_022802:exon2:c.1806_1807del:p.Q603Vfs*46,CTBP2:NM_001321013:exon3:c.186_187del:p.Q63Vfs*46,CTBP2:NM_001083914:exon4:c.186_187del:p.Q63Vfs*46,CTBP2:NM_001290214:exon4:c.186_187del:p.Q63Vfs*46,CTBP2:NM_001290215:exon4:c.186_187del:p.Q63Vfs*46,CTBP2:NM_001321012:exon4:c.186_187del:p.Q63Vfs*46,CTBP2:NM_001321014:exon4:c.186_187del:p.Q63Vfs*46,CTBP2:NM_001329:exon4:c.186_187del:p.Q63Vfs*46;CTBP2:uc001lid.4:exon2:c.390_391del:p.Q131Vfs*46,CTBP2:uc001lie.4:exon2:c.1806_1807del:p.Q603Vfs*46,CTBP2:uc001lif.4:exon4:c.186_187del:p.Q63Vfs*46,CTBP2:uc001lih.4:exon4:c.186_187del:p.Q63Vfs*46,CTBP2:uc009yak.3:exon4:c.186_187del:p.Q63Vfs*46,CTBP2:uc009yal.3:exon4:c.186_187del:p.Q63Vfs*46;CTBP2:ENST00000309035.11_5:exon2:c.1806_1807del:p.Q603Vfs*46,CTBP2:ENST00000334808.10_4:exon2:c.390_391del:p.Q131Vfs*46,CTBP2:ENST00000337195.9_3:exon4:c.186_187del:p.Q63Vfs*46,CTBP2:ENST00000411419.6_3:exon4:c.186_187del:p.Q63Vfs*46,CTBP2:ENST00000494626.6_3:exon4:c.186_187del:p.Q63Vfs*46,CTBP2:ENST00000531469.5_3:exon4:c.186_187del:p.Q63Vfs*46</t>
  </si>
  <si>
    <t xml:space="preserve">CTBP2:NM_001363508:exon2:c.301delC:p.R101Afs*19,CTBP2:NM_022802:exon2:c.1717delC:p.R573Afs*19,CTBP2:NM_001321013:exon3:c.97delC:p.R33Afs*19,CTBP2:NM_001083914:exon4:c.97delC:p.R33Afs*19,CTBP2:NM_001290214:exon4:c.97delC:p.R33Afs*19,CTBP2:NM_001290215:exon4:c.97delC:p.R33Afs*19,CTBP2:NM_001321012:exon4:c.97delC:p.R33Afs*19,CTBP2:NM_001321014:exon4:c.97delC:p.R33Afs*19,CTBP2:NM_001329:exon4:c.97delC:p.R33Afs*19;CTBP2:uc001lid.4:exon2:c.301delC:p.R101Afs*19,CTBP2:uc001lie.4:exon2:c.1717delC:p.R573Afs*19,CTBP2:uc001lif.4:exon4:c.97delC:p.R33Afs*19,CTBP2:uc001lih.4:exon4:c.97delC:p.R33Afs*19,CTBP2:uc009yak.3:exon4:c.97delC:p.R33Afs*19,CTBP2:uc009yal.3:exon4:c.97delC:p.R33Afs*19;CTBP2:ENST00000309035.11_5:exon2:c.1717delC:p.R573Afs*19,CTBP2:ENST00000334808.10_4:exon2:c.301delC:p.R101Afs*19,CTBP2:ENST00000337195.9_3:exon4:c.97delC:p.R33Afs*19,CTBP2:ENST00000411419.6_3:exon4:c.97delC:p.R33Afs*19,CTBP2:ENST00000494626.6_3:exon4:c.97delC:p.R33Afs*19,CTBP2:ENST00000531469.5_3:exon4:c.97delC:p.R33Afs*19</t>
  </si>
  <si>
    <t xml:space="preserve">924.60</t>
  </si>
  <si>
    <t xml:space="preserve">64,32</t>
  </si>
  <si>
    <t xml:space="preserve">CTBP2:NM_001321013:exon2:c.9delT:p.V4Wfs*23,CTBP2:NM_001083914:exon3:c.9delT:p.V4Wfs*23,CTBP2:NM_001290214:exon3:c.9delT:p.V4Wfs*23,CTBP2:NM_001290215:exon3:c.9delT:p.V4Wfs*23,CTBP2:NM_001321012:exon3:c.9delT:p.V4Wfs*23,CTBP2:NM_001321014:exon3:c.9delT:p.V4Wfs*23,CTBP2:NM_001329:exon3:c.9delT:p.V4Wfs*23;CTBP2:uc001lif.4:exon3:c.9delT:p.V4Wfs*23,CTBP2:uc001lih.4:exon3:c.9delT:p.V4Wfs*23,CTBP2:uc009yak.3:exon3:c.9delT:p.V4Wfs*23,CTBP2:uc009yal.3:exon3:c.9delT:p.V4Wfs*23;CTBP2:ENST00000337195.9_3:exon3:c.9delT:p.V4Wfs*23,CTBP2:ENST00000411419.6_3:exon3:c.9delT:p.V4Wfs*23,CTBP2:ENST00000494626.6_3:exon3:c.9delT:p.V4Wfs*23,CTBP2:ENST00000531469.5_3:exon3:c.9delT:p.V4Wfs*23</t>
  </si>
  <si>
    <t xml:space="preserve">338.64</t>
  </si>
  <si>
    <t xml:space="preserve">13,11</t>
  </si>
  <si>
    <t xml:space="preserve">1.31307026997115e-10</t>
  </si>
  <si>
    <t xml:space="preserve">cadherin related family member 5</t>
  </si>
  <si>
    <t xml:space="preserve">FUNCTION: Acts as a calcium-dependent cell adhesion protein. {ECO:0000250|UniProtKB:Q9JIK1}.; </t>
  </si>
  <si>
    <t xml:space="preserve">516.64</t>
  </si>
  <si>
    <t xml:space="preserve">24,19</t>
  </si>
  <si>
    <t xml:space="preserve">0.259641696484575</t>
  </si>
  <si>
    <t xml:space="preserve">lymphocyte-specific protein 1</t>
  </si>
  <si>
    <t xml:space="preserve">FUNCTION: May play a role in mediating neutrophil activation and chemotaxis. {ECO:0000250}.; </t>
  </si>
  <si>
    <t xml:space="preserve">TT</t>
  </si>
  <si>
    <t xml:space="preserve">737.02</t>
  </si>
  <si>
    <t xml:space="preserve">0,9,13</t>
  </si>
  <si>
    <t xml:space="preserve">0.0257560632861161</t>
  </si>
  <si>
    <t xml:space="preserve">tripeptidyl peptidase I</t>
  </si>
  <si>
    <t xml:space="preserve">FUNCTION: Lysosomal serine protease with tripeptidyl-peptidase I activity. May act as a non-specific lysosomal peptidase which generates tripeptides from the breakdown products produced by lysosomal proteinases. Requires substrates with an unsubstituted N-terminus (By similarity). {ECO:0000250}.; </t>
  </si>
  <si>
    <t xml:space="preserve">DISEASE: Ceroid lipofuscinosis, neuronal, 2 (CLN2) [MIM:204500]: A form of neuronal ceroid lipofuscinosis. Neuronal ceroid lipofuscinoses are progressive neurodegenerative, lysosomal storage diseases characterized by intracellular accumulation of autofluorescent liposomal material, and clinically by seizures, dementia, visual loss, and/or cerebral atrophy. The lipopigment pattern seen most often in CLN2 consists of curvilinear profiles. {ECO:0000269|PubMed:10330339, ECO:0000269|PubMed:10665500, ECO:0000269|PubMed:11241479, ECO:0000269|PubMed:11339651, ECO:0000269|PubMed:11589012, ECO:0000269|PubMed:12376936, ECO:0000269|PubMed:12414822, ECO:0000269|PubMed:12698559, ECO:0000269|PubMed:19201763, ECO:0000269|PubMed:20340139, ECO:0000269|PubMed:21990111, ECO:0000269|PubMed:22612257, ECO:0000269|PubMed:9295267}. Note=The disease is caused by mutations affecting the gene represented in this entry.; DISEASE: Spinocerebellar ataxia, autosomal recessive, 7 (SCAR7) [MIM:609270]: Spinocerebellar ataxia defines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SCAR7 patients show difficulty walking and writing, dysarthria, limb ataxia, and cerebellar atrophy. {ECO:0000269|PubMed:23418007}. Note=The disease is caused by mutations affecting the gene represented in this entry.; </t>
  </si>
  <si>
    <t xml:space="preserve">NM_001142307:exon4:c.155-2A&gt;G;NM_005316:exon3:c.155-2A&gt;G;uc001moi.2:exon4:c.155-2A&gt;G;uc001moh.2:exon3:c.155-2A&gt;G;ENST00000453096.6_1:exon4:c.155-2A&gt;G;ENST00000265963.9_3:exon3:c.155-2A&gt;G</t>
  </si>
  <si>
    <t xml:space="preserve">0.995912255857913</t>
  </si>
  <si>
    <t xml:space="preserve">general transcription factor IIH subunit 1</t>
  </si>
  <si>
    <t xml:space="preserve">FUNCTION: Component of the core-TFIIH basal transcription factor involved in nucleotide excision repair (NER) of DNA and, when complexed to CAK, in RNA transcription by RNA polymerase II.; </t>
  </si>
  <si>
    <t xml:space="preserve">457.64</t>
  </si>
  <si>
    <t xml:space="preserve">22,17</t>
  </si>
  <si>
    <t xml:space="preserve">607.64</t>
  </si>
  <si>
    <t xml:space="preserve">NM_001288713:exon10:c.1081+1G&gt;A;NM_001288714:exon8:c.826+1G&gt;A;NM_201551:exon9:c.997+1G&gt;A;NM_006157:exon9:c.997+1G&gt;A;uc001mqe.3:exon9:c.997+1G&gt;A;uc001mqf.3:exon9:c.997+1G&gt;A;uc009yid.3:exon10:c.1081+1G&gt;A;uc010rdo.2:exon8:c.826+1G&gt;A;uc010rdp.2:exon6:c.277+1G&gt;A;ENST00000325319.9_4:exon8:c.826+1G&gt;A;ENST00000298925.9_2:exon10:c.1081+1G&gt;A;ENST00000357134.10_4:exon9:c.997+1G&gt;A;ENST00000532434.5_1:exon9:c.997+1G&gt;A</t>
  </si>
  <si>
    <t xml:space="preserve">2.16981597021605e-09</t>
  </si>
  <si>
    <t xml:space="preserve">neural EGFL like 1</t>
  </si>
  <si>
    <t xml:space="preserve">FUNCTION: Plays a role in the control of cell growth and differentiation. Promotes osteoblast cell differentiation and terminal mineralization. {ECO:0000269|PubMed:21723284}.; </t>
  </si>
  <si>
    <t xml:space="preserve">28,23</t>
  </si>
  <si>
    <t xml:space="preserve">0.999693191606899</t>
  </si>
  <si>
    <t xml:space="preserve">structure specific recognition protein 1</t>
  </si>
  <si>
    <t xml:space="preserve">FUNCTION: Component of the FACT complex, a general chromatin factor that acts to reorganize nucleosomes. The FACT complex is involved in multiple processes that require DNA as a template such as mRNA elongation, DNA replication and DNA repair. During transcription elongation the FACT complex acts as a histone chaperone that both destabilizes and restores nucleosomal structure. It facilitates the passage of RNA polymerase II and transcription by promoting the dissociation of one histone H2A-H2B dimer from the nucleosome, then subsequently promotes the reestablishment of the nucleosome following the passage of RNA polymerase II. The FACT complex is probably also involved in phosphorylation of 'Ser-392' of p53/TP53 via its association with CK2 (casein kinase II). Binds specifically to double-stranded DNA and at low levels to DNA modified by the antitumor agent cisplatin. May potentiate cisplatin-induced cell death by blocking replication and repair of modified DNA. Also acts as a transcriptional coactivator for p63/TP63. {ECO:0000269|PubMed:10912001, ECO:0000269|PubMed:11239457, ECO:0000269|PubMed:12374749, ECO:0000269|PubMed:12934006, ECO:0000269|PubMed:16713563, ECO:0000269|PubMed:9489704, ECO:0000269|PubMed:9566881, ECO:0000269|PubMed:9836642}.; </t>
  </si>
  <si>
    <t xml:space="preserve">292.64</t>
  </si>
  <si>
    <t xml:space="preserve">8,10</t>
  </si>
  <si>
    <t xml:space="preserve">0.904578639335977</t>
  </si>
  <si>
    <t xml:space="preserve">synaptotagmin 7</t>
  </si>
  <si>
    <t xml:space="preserve">FUNCTION: May be involved in Ca(2+)-dependent exocytosis of secretory vesicles through Ca(2+) and phospholipid binding to the C2 domain or may serve as Ca(2+) sensors in the process of vesicular trafficking and exocytosis. {ECO:0000250}.; </t>
  </si>
  <si>
    <t xml:space="preserve">intergenic;ncRNA_splicing;splicing</t>
  </si>
  <si>
    <t xml:space="preserve">NR_002775:exon5:c.661-1G&gt;C;uc001nrz.1:exon5:UTR5;dist=29034;dist=18081</t>
  </si>
  <si>
    <t xml:space="preserve">ribosomal protein lateral stalk subunit P0 pseudogene 2</t>
  </si>
  <si>
    <t xml:space="preserve">AGAGCAATCTCTTGTCAGCCTCACAGAAGAGCTCCTT</t>
  </si>
  <si>
    <t xml:space="preserve">dist=20643;dist=23246;LOC440061:uc031qdg.1:exon1:c.148_184del:p.K50Vfs*18;dist=20643;dist=23246</t>
  </si>
  <si>
    <t xml:space="preserve">78.60</t>
  </si>
  <si>
    <t xml:space="preserve">3,4</t>
  </si>
  <si>
    <t xml:space="preserve">NM_001354750:c.*94_*95insA;NM_006006:c.*94_*95insA;NM_001354751:c.*94_*95insA;NM_001018011:c.*94_*95insA;NM_001354752:c.*94_*95insA;uc001pop.3:c.*94_*95insA;uc001poq.3:c.*94_*95insA</t>
  </si>
  <si>
    <t xml:space="preserve">0.980087305825708</t>
  </si>
  <si>
    <t xml:space="preserve">zinc finger and BTB domain containing 16</t>
  </si>
  <si>
    <t xml:space="preserve">FUNCTION: Probable transcription factor. May play a role in myeloid maturation and in the development and/or maintenance of other differentiated tissues. Probable substrate-recognition component of an E3 ubiquitin-protein ligase complex which mediates the ubiquitination and subsequent proteasomal degradation of target proteins. {ECO:0000269|PubMed:14528312}.; </t>
  </si>
  <si>
    <t xml:space="preserve">DISEASE: Skeletal defects, genital hypoplasia, and mental retardation (SGYMR) [MIM:612447]: A disorder characterized by mental retardation, craniofacial dysmorphism, microcephaly and short stature. Additional features include absence of the thumbs, hypoplasia of the radii and ulnae, additional vertebrae and ribs, retarded bone age and genital hypoplasia. {ECO:0000269|PubMed:18611983}. Note=The disease is caused by mutations affecting the gene represented in this entry.; DISEASE: Note=A chromosomal aberration involving ZBTB16 may be a cause of acute promyelocytic leukemia (APL). Translocation t(11;17)(q32;q21) with RARA. {ECO:0000269|PubMed:8384553}.; </t>
  </si>
  <si>
    <t xml:space="preserve">58,9</t>
  </si>
  <si>
    <t xml:space="preserve">CEP164:NM_001271933:exon4:c.337dupA:p.E117Gfs*88,CEP164:NM_014956:exon5:c.337dupA:p.E117Gfs*88;CEP164:uc001prb.4:exon4:c.337dupA:p.E117Gfs*88,CEP164:uc010rxj.1:exon4:c.199dupA:p.E71Gfs*20,CEP164:uc010rxk.1:exon4:c.337dupA:p.E117Gfs*88,CEP164:uc001prc.3:exon5:c.337dupA:p.E117Gfs*88,CEP164:uc001prd.2:exon5:c.337dupA:p.E117Gfs*15;CEP164:ENST00000278935.8_6:exon5:c.337dupA:p.E117Gfs*88</t>
  </si>
  <si>
    <t xml:space="preserve">9.66879225304467e-18</t>
  </si>
  <si>
    <t xml:space="preserve">centrosomal protein 164kDa</t>
  </si>
  <si>
    <t xml:space="preserve">FUNCTION: Plays a role in microtubule organization and/or maintenance for the formation of primary cilia (PC), a microtubule-based structure that protrudes from the surface of epithelial cells. Plays a critical role in G2/M checkpoint and nuclear divisions. A key player in the DNA damage-activated ATR/ATM signaling cascade since it is required for the proper phosphorylation of H2AX, RPA, CHEK2 and CHEK1. Plays a critical role in chromosome segregation, acting as a mediator required for the maintenance of genomic stability through modulation of MDC1, RPA and CHEK1. {ECO:0000269|PubMed:17954613, ECO:0000269|PubMed:18283122, ECO:0000269|PubMed:23348840}.; </t>
  </si>
  <si>
    <t xml:space="preserve">DISEASE: Nephronophthisis 15 (NPHP15) [MIM:614845]: An autosomal recessive disorder characterized by the association of nephronophthisis with Leber congenital amaurosis and retinal degeneration, often resulting in blindness during childhood. Additional features include seizures, cerebellar vermis hypoplasia, facial dysmorphism, bronchiectasis and liver failure. Nephronophthisis is a chronic tubulo-interstitial nephritis that progresses to end-stage renal failure. {ECO:0000269|PubMed:22863007}. Note=The disease is caused by mutations affecting the gene represented in this entry.; </t>
  </si>
  <si>
    <t xml:space="preserve">34,36</t>
  </si>
  <si>
    <t xml:space="preserve">0.802589769159313</t>
  </si>
  <si>
    <t xml:space="preserve">forkhead box M1</t>
  </si>
  <si>
    <t xml:space="preserve">FUNCTION: Transcriptional factor regulating the expression of cell cycle genes essential for DNA replication and mitosis. Plays a role in the control of cell proliferation. Plays also a role in DNA breaks repair participating in the DNA damage checkpoint response. {ECO:0000269|PubMed:17101782, ECO:0000269|PubMed:19160488, ECO:0000269|PubMed:20360045}.; </t>
  </si>
  <si>
    <t xml:space="preserve">46,27</t>
  </si>
  <si>
    <t xml:space="preserve">0.998394611630928</t>
  </si>
  <si>
    <t xml:space="preserve">forkhead box J2</t>
  </si>
  <si>
    <t xml:space="preserve">FUNCTION: Transcriptional activator. Able to bind to two different type of DNA binding sites. Isoform FOXJ2.L behaves as a more potent transactivator than FOXJ2.S.; </t>
  </si>
  <si>
    <t xml:space="preserve">0.144785241366813</t>
  </si>
  <si>
    <t xml:space="preserve">bicaudal D homolog 1 (Drosophila)</t>
  </si>
  <si>
    <t xml:space="preserve">FUNCTION: Regulates coat complex coatomer protein I (COPI)- independent Golgi-endoplasmic reticulum transport by recruiting the dynein-dynactin motor complex.; </t>
  </si>
  <si>
    <t xml:space="preserve">926.64</t>
  </si>
  <si>
    <t xml:space="preserve">30,31</t>
  </si>
  <si>
    <t xml:space="preserve">uc001rvn.3:c.*2838C&gt;T</t>
  </si>
  <si>
    <t xml:space="preserve">4.17696058293906e-06</t>
  </si>
  <si>
    <t xml:space="preserve">aquaporin 2</t>
  </si>
  <si>
    <t xml:space="preserve">FUNCTION: Forms a water-specific channel that provides the plasma membranes of renal collecting duct with high permeability to water, thereby permitting water to move in the direction of an osmotic gradient.; </t>
  </si>
  <si>
    <t xml:space="preserve">DISEASE: Diabetes insipidus, nephrogenic, autosomal (ANDI) [MIM:125800]: A disorder caused by the inability of the renal collecting ducts to absorb water in response to arginine vasopressin. Characterized by excessive water drinking (polydipsia), excessive urine excretion (polyuria), persistent hypotonic urine, and hypokalemia. Inheritance can be autosomal dominant or recessive. {ECO:0000269|PubMed:12050236, ECO:0000269|PubMed:12191971, ECO:0000269|PubMed:15509592, ECO:0000269|PubMed:16120822, ECO:0000269|PubMed:16361827, ECO:0000269|PubMed:16845277, ECO:0000269|PubMed:19585583, ECO:0000269|PubMed:24944815, ECO:0000269|PubMed:7524315, ECO:0000269|PubMed:8882880, ECO:0000269|PubMed:9048343, ECO:0000269|PubMed:9302264, ECO:0000269|PubMed:9402087, ECO:0000269|PubMed:9550615, ECO:0000269|PubMed:9649557, ECO:0000269|PubMed:9745427}. Note=The disease is caused by mutations affecting the gene represented in this entry.; </t>
  </si>
  <si>
    <t xml:space="preserve">1.80979797287063e-09</t>
  </si>
  <si>
    <t xml:space="preserve">integrin subunit alpha 7</t>
  </si>
  <si>
    <t xml:space="preserve">FUNCTION: Integrin alpha-7/beta-1 is the primary laminin receptor on skeletal myoblasts and adult myofibers. During myogenic differentiation, it may induce changes in the shape and mobility of myoblasts, and facilitate their localization at laminin-rich sites of secondary fiber formation. It is involved in the maintenance of the myofibers cytoarchitecture as well as for their anchorage, viability and functional integrity. Isoform Alpha-7X2B and isoform Alpha-7X1B promote myoblast migration on laminin 1 and laminin 2/4, but isoform Alpha-7X1B is less active on laminin 1 (In vitro). Acts as Schwann cell receptor for laminin-2. Acts as a receptor of COMP and mediates its effect on vascular smooth muscle cells (VSMCs) maturation (By similarity). Required to promote contractile phenotype acquisition in differentiated airway smooth muscle (ASM) cells. {ECO:0000250, ECO:0000269|PubMed:10694445, ECO:0000269|PubMed:17641293, ECO:0000269|PubMed:9307969}.; </t>
  </si>
  <si>
    <t xml:space="preserve">DISEASE: Muscular dystrophy congenital due to integrin alpha-7 deficiency (MDCI) [MIM:613204]: A form of congenital muscular dystrophy. Patients present at birth, or within the first few months of life, with hypotonia, muscle weakness and often with joint contractures. {ECO:0000269|PubMed:9590299}. Note=The disease is caused by mutations affecting the gene represented in this entry.; </t>
  </si>
  <si>
    <t xml:space="preserve">573.64</t>
  </si>
  <si>
    <t xml:space="preserve">10,18</t>
  </si>
  <si>
    <t xml:space="preserve">NACA:NM_001365896:exon3:c.C2876A:p.P959Q;NACA:ENST00000454682.6_5:exon3:c.C2876A:p.P959Q</t>
  </si>
  <si>
    <t xml:space="preserve">0.0203382171134431</t>
  </si>
  <si>
    <t xml:space="preserve">nascent polypeptide-associated complex alpha subunit</t>
  </si>
  <si>
    <t xml:space="preserve">FUNCTION: Cardiac- and muscle-specific transcription factor. May act to regulate the expression of genes involved in the development of myotubes. Plays a critical role in ventricular cardiomyocyte expansion and regulates postnatal skeletal muscle growth and regeneration. Involved in the organized assembly of thick and thin filaments of myofibril sarcomeres (By similarity). {ECO:0000250}.; </t>
  </si>
  <si>
    <t xml:space="preserve">GGTC</t>
  </si>
  <si>
    <t xml:space="preserve">124.60</t>
  </si>
  <si>
    <t xml:space="preserve">93,10</t>
  </si>
  <si>
    <t xml:space="preserve">CTDSP2:NM_005730:exon7:c.636_639del:p.K212Nfs*34;CTDSP2:uc010ssg.2:exon2:c.258_261del:p.K86Nfs*34,CTDSP2:uc001sqm.3:exon7:c.636_639del:p.K212Nfs*34,CTDSP2:uc009zqf.3:exon7:c.180_183del:p.K60Nfs*34;CTDSP2:ENST00000398073.7_5:exon7:c.636_639del:p.K212Nfs*34,CTDSP2:ENST00000547701.5_3:exon7:c.180_183del:p.K60Nfs*34</t>
  </si>
  <si>
    <t xml:space="preserve">TTTTTTTT</t>
  </si>
  <si>
    <t xml:space="preserve">232.02</t>
  </si>
  <si>
    <t xml:space="preserve">0,4,3</t>
  </si>
  <si>
    <t xml:space="preserve">NM_000239:c.*278_*279insTTTTTTTT;uc001suw.2:c.*278_*279insTTTTTTTT</t>
  </si>
  <si>
    <t xml:space="preserve">0.00137551693250335</t>
  </si>
  <si>
    <t xml:space="preserve">lysozyme</t>
  </si>
  <si>
    <t xml:space="preserve">FUNCTION: Lysozymes have primarily a bacteriolytic function; those in tissues and body fluids are associated with the monocyte- macrophage system and enhance the activity of immunoagents.; </t>
  </si>
  <si>
    <t xml:space="preserve">DISEASE: Amyloidosis 8 (AMYL8) [MIM:105200]: A hereditary generalized amyloidosis due to deposition of apolipoprotein A1, fibrinogen and lysozyme amyloids. Viscera are particularly affected. There is no involvement of the nervous system. Clinical features include renal amyloidosis resulting in nephrotic syndrome, arterial hypertension, hepatosplenomegaly, cholestasis, petechial skin rash. {ECO:0000269|PubMed:8464497}. Note=The disease is caused by mutations affecting the gene represented in this entry.; </t>
  </si>
  <si>
    <t xml:space="preserve">TTTTTTTTTTT</t>
  </si>
  <si>
    <t xml:space="preserve">NM_000239:c.*278_*279insTTTTTTTTTTT;uc001suw.2:c.*278_*279insTTTTTTTTTTT</t>
  </si>
  <si>
    <t xml:space="preserve">339.64</t>
  </si>
  <si>
    <t xml:space="preserve">6,10</t>
  </si>
  <si>
    <t xml:space="preserve">0.99999999999996</t>
  </si>
  <si>
    <t xml:space="preserve">HECT domain E3 ubiquitin protein ligase 4</t>
  </si>
  <si>
    <t xml:space="preserve">FUNCTION: E3 ubiquitin-protein ligase which accepts ubiquitin from an E2 ubiquitin-conjugating enzyme in the form of a thioester and then directly transfers the ubiquitin to targeted substrates. {ECO:0000250}.; </t>
  </si>
  <si>
    <t xml:space="preserve">398.64</t>
  </si>
  <si>
    <t xml:space="preserve">18,13</t>
  </si>
  <si>
    <t xml:space="preserve">0.411747626154712</t>
  </si>
  <si>
    <t xml:space="preserve">serine/arginine repetitive matrix 4</t>
  </si>
  <si>
    <t xml:space="preserve">FUNCTION: Splicing factor specifically required for neural cell differentiation. Acts in conjuction with nPTB/PTBP2 by binding directly to its regulated target transcripts and promotes neural- specific exon inclusion in many genes that function in neural cell differentiation. Required to promote the inclusion of neural- specific exon 10 in nPTB/PTBP2, leading to increased expression of neural-specific nPTB/PTBP2. Also promotes the inclusion of exon 16 in DAAM1 in neuron extracts (By similarity). {ECO:0000250}.; </t>
  </si>
  <si>
    <t xml:space="preserve">228.60</t>
  </si>
  <si>
    <t xml:space="preserve">13,10</t>
  </si>
  <si>
    <t xml:space="preserve">CCDC60:NM_178499:exon6:c.586dupA:p.I198Nfs*3;CCDC60:uc001txe.3:exon6:c.586dupA:p.I198Nfs*3;CCDC60:ENST00000327554.3_6:exon6:c.586dupA:p.I198Nfs*3</t>
  </si>
  <si>
    <t xml:space="preserve">8.62068411387964e-06</t>
  </si>
  <si>
    <t xml:space="preserve">coiled-coil domain containing 60</t>
  </si>
  <si>
    <t xml:space="preserve">AG</t>
  </si>
  <si>
    <t xml:space="preserve">58.60</t>
  </si>
  <si>
    <t xml:space="preserve">49,6</t>
  </si>
  <si>
    <t xml:space="preserve">exonic;intronic;ncRNA_exonic</t>
  </si>
  <si>
    <t xml:space="preserve">STX2:NM_001351051:exon5:c.41_42del:p.S14Wfs*8</t>
  </si>
  <si>
    <t xml:space="preserve">0.000386515733492941</t>
  </si>
  <si>
    <t xml:space="preserve">syntaxin 2</t>
  </si>
  <si>
    <t xml:space="preserve">FUNCTION: Essential for epithelial morphogenesis. May mediate Ca(2+)-regulation of exocytosis acrosomal reaction in sperm.; </t>
  </si>
  <si>
    <t xml:space="preserve">11,14</t>
  </si>
  <si>
    <t xml:space="preserve">0.818123800274802</t>
  </si>
  <si>
    <t xml:space="preserve">diacylglycerol kinase eta</t>
  </si>
  <si>
    <t xml:space="preserve">FUNCTION: Phosphorylates diacylglycerol (DAG) to generate phosphatidic acid (PA). Plays a key role in promoting cell growth. Activates the Ras/B-Raf/C-Raf/MEK/ERK signaling pathway induced by EGF. Regulates the recruitment of RAF1 and BRAF from cytoplasm to membranes and their heterodimerization. {ECO:0000269|PubMed:12810723, ECO:0000269|PubMed:19710016}.; </t>
  </si>
  <si>
    <t xml:space="preserve">31.60</t>
  </si>
  <si>
    <t xml:space="preserve">NM_001281503:c.-885delG;NM_052910:c.-885delG;uc001vlk.3:c.-885delG</t>
  </si>
  <si>
    <t xml:space="preserve">0.988430445876677</t>
  </si>
  <si>
    <t xml:space="preserve">SLIT and NTRK like family member 1</t>
  </si>
  <si>
    <t xml:space="preserve">FUNCTION: Enhances neuronal dendrite outgrowth. {ECO:0000269|PubMed:16224024}.; </t>
  </si>
  <si>
    <t xml:space="preserve">DISEASE: Gilles de la Tourette syndrome (GTS) [MIM:137580]: Neurologic disorder manifested particularly by motor and vocal tics and associated with behavioral abnormalities. {ECO:0000269|PubMed:16224024}. Note=The disease may be caused by mutations affecting the gene represented in this entry.; DISEASE: Trichotillomania (TTM) [MIM:613229]: A neuropsychiatric disorder characterized by chronic, repetitive, or compulsive hair pulling resulting in noticeable hair loss. Affected individuals may develop physical complications and often have overlapping psychological disorders, such as Gilles de la Tourette syndrome or obsessive-compulsive disorder. {ECO:0000269|PubMed:16224024}. Note=The disease may be caused by mutations affecting the gene represented in this entry.; </t>
  </si>
  <si>
    <t xml:space="preserve">249.64</t>
  </si>
  <si>
    <t xml:space="preserve">FGF14:NM_001321933:exon2:c.T2C:p.M1?,FGF14:NM_001321940:exon2:c.T2C:p.M1?,FGF14:NM_001321938:exon3:c.T2C:p.M1?</t>
  </si>
  <si>
    <t xml:space="preserve">0.724525962590089</t>
  </si>
  <si>
    <t xml:space="preserve">fibroblast growth factor 14</t>
  </si>
  <si>
    <t xml:space="preserve">FUNCTION: Probably involved in nervous system development and function.; </t>
  </si>
  <si>
    <t xml:space="preserve">254.64</t>
  </si>
  <si>
    <t xml:space="preserve">14,8</t>
  </si>
  <si>
    <t xml:space="preserve">1.27598576115295e-17</t>
  </si>
  <si>
    <t xml:space="preserve">myosin, heavy chain 6, cardiac muscle, alpha</t>
  </si>
  <si>
    <t xml:space="preserve">DISEASE: Atrial septal defect 3 (ASD3) [MIM:614089]: A congenital heart malformation characterized by incomplete closure of the wall between the atria resulting in blood flow from the left to the right atria. {ECO:0000269|PubMed:15735645}. Note=The disease is caused by mutations affecting the gene represented in this entry.; DISEASE: Cardiomyopathy, familial hypertrophic 14 (CMH14) [MIM:613251]: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{ECO:0000269|PubMed:11815426, ECO:0000269|PubMed:15998695}. Note=The disease is caused by mutations affecting the gene represented in this entry.; DISEASE: Cardiomyopathy, dilated 1EE (CMD1EE) [MIM:613252]: A disorder characterized by ventricular dilation and impaired systolic function, resulting in congestive heart failure and arrhythmia. Patients are at risk of premature death. {ECO:0000269|PubMed:15998695}. Note=The disease is caused by mutations affecting the gene represented in this entry.; DISEASE: Sick sinus syndrome 3 (SSS3) [MIM:614090]: The term 'sick sinus syndrome' encompasses a variety of conditions caused by sinus node dysfunction. The most common clinical manifestations are syncope, presyncope, dizziness, and fatigue. Electrocardiogram typically shows sinus bradycardia, sinus arrest, and/or sinoatrial block. Episodes of atrial tachycardias coexisting with sinus bradycardia ('tachycardia-bradycardia syndrome') are also common in this disorder. SSS occurs most often in the elderly associated with underlying heart disease or previous cardiac surgery, but can also occur in the fetus, infant, or child without heart disease or other contributing factors. {ECO:0000269|PubMed:21378987}. Note=Disease susceptibility is associated with variations affecting the gene represented in this entry. The lifetime risk of being diagnosed with sick sinus syndrome is higher for carriers of variant p.Arg721Trp than for non-carriers. {ECO:0000269|PubMed:21378987}.; </t>
  </si>
  <si>
    <t xml:space="preserve">TTTTTCTTTTTAC</t>
  </si>
  <si>
    <t xml:space="preserve">257.27</t>
  </si>
  <si>
    <t xml:space="preserve">1,7</t>
  </si>
  <si>
    <t xml:space="preserve">5.80341698067131e-06</t>
  </si>
  <si>
    <t xml:space="preserve">thyroid stimulating hormone receptor</t>
  </si>
  <si>
    <t xml:space="preserve">FUNCTION: Receptor for thyrothropin. Plays a central role in controlling thyroid cell metabolism. The activity of this receptor is mediated by G proteins which activate adenylate cyclase. Also acts as a receptor for thyrostimulin (GPA2+GPB5). {ECO:0000269|PubMed:12045258}.; </t>
  </si>
  <si>
    <t xml:space="preserve">DISEASE: Note=Defects in TSHR are found in patients affected by hyperthyroidism with different etiologies. Somatic, constitutively activating TSHR mutations and/or constitutively activating G(s)alpha mutations have been identified in toxic thyroid nodules (TTNs) that are the predominant cause of hyperthyroidism in iodine deficient areas. These mutations lead to TSH independent activation of the cAMP cascade resulting in thyroid growth and hormone production. TSHR mutations are found in autonomously functioning thyroid nodules (AFTN), toxic multinodular goiter (TMNG) and hyperfunctioning thyroid adenomas (HTA). TMNG encompasses a spectrum of different clinical entities, ranging from a single hyperfunctioning nodule within an enlarged thyroid, to multiple hyperfunctioning areas scattered throughout the gland. HTA are discrete encapsulated neoplasms characterized by TSH- independent autonomous growth, hypersecretion of thyroid hormones, and TSH suppression. Defects in TSHR are also a cause of thyroid neoplasms (papillary and follicular cancers).; DISEASE: Note=Autoantibodies against TSHR are directly responsible for the pathogenesis and hyperthyroidism of Graves disease. Antibody interaction with TSHR results in an uncontrolled receptor stimulation.; DISEASE: Hypothyroidism, congenital, non-goitrous, 1 (CHNG1) [MIM:275200]: A non-autoimmune condition characterized by resistance to thyroid-stimulating hormone (TSH) leading to increased levels of plasma TSH and low levels of thyroid hormone. It presents variable severity depending on the completeness of the defect. Most patients are euthyroid and asymptomatic, with a normal sized thyroid gland. Only a subset of patients develop hypothyroidism and present a hypoplastic thyroid gland. {ECO:0000269|PubMed:10720030, ECO:0000269|PubMed:11095460, ECO:0000269|PubMed:11442002, ECO:0000269|PubMed:12050212, ECO:0000269|PubMed:14725684, ECO:0000269|PubMed:15531543, ECO:0000269|PubMed:7528344, ECO:0000269|PubMed:8954020, ECO:0000269|PubMed:9100579, ECO:0000269|PubMed:9185526, ECO:0000269|PubMed:9329388}. Note=The disease is caused by mutations affecting the gene represented in this entry.; DISEASE: Familial gestational hyperthyroidism (HTFG) [MIM:603373]: A condition characterized by abnormally high levels of serum thyroid hormones occurring during early pregnancy. {ECO:0000269|PubMed:9854118}. Note=The disease is caused by mutations affecting the gene represented in this entry.; DISEASE: Hyperthyroidism, non-autoimmune (HTNA) [MIM:609152]: A condition characterized by abnormally high levels of serum thyroid hormones, thyroid hyperplasia, goiter and lack of anti-thyroid antibodies. Typical features of Graves disease such as exophthalmia, myxedema, antibodies anti-TSH receptor and lymphocytic infiltration of the thyroid gland are absent. {ECO:0000269|PubMed:10199795, ECO:0000269|PubMed:10852462, ECO:0000269|PubMed:11081252, ECO:0000269|PubMed:11127522, ECO:0000269|PubMed:11201847, ECO:0000269|PubMed:11517004, ECO:0000269|PubMed:11549687, ECO:0000269|PubMed:15163335, ECO:0000269|PubMed:7800007, ECO:0000269|PubMed:7920658, ECO:0000269|PubMed:8636266, ECO:0000269|PubMed:8964822, ECO:0000269|PubMed:9349581, ECO:0000269|PubMed:9360555, ECO:0000269|PubMed:9398746, ECO:0000269|PubMed:9589634}. Note=The disease is caused by mutations affecting the gene represented in this entry.; </t>
  </si>
  <si>
    <t xml:space="preserve">266.64</t>
  </si>
  <si>
    <t xml:space="preserve">13,8</t>
  </si>
  <si>
    <t xml:space="preserve">0.41090369131392</t>
  </si>
  <si>
    <t xml:space="preserve">kinesin family member 26A</t>
  </si>
  <si>
    <t xml:space="preserve">FUNCTION: Atypical kinesin that plays a key role in enteric neuron development. Acts by repressing a cell growth signaling pathway in the enteric nervous system development, possibly via its interaction with GRB2 that prevents GRB2-binding to SHC, thereby attenating the GDNF-Ret signaling. Binds to microtubules but lacks microtubule-based motility due to the absence of ATPase activity (By similarity). {ECO:0000250}.; </t>
  </si>
  <si>
    <t xml:space="preserve">219.64</t>
  </si>
  <si>
    <t xml:space="preserve">149</t>
  </si>
  <si>
    <t xml:space="preserve">134,15</t>
  </si>
  <si>
    <t xml:space="preserve">intergenic;intronic;ncRNA_intronic</t>
  </si>
  <si>
    <t xml:space="preserve">dist=143923;dist=163648</t>
  </si>
  <si>
    <t xml:space="preserve">TCTTTGATGAG</t>
  </si>
  <si>
    <t xml:space="preserve">14,2</t>
  </si>
  <si>
    <t xml:space="preserve">FAN1:NM_001146094:exon2:c.1184_1194del:p.L395Pfs*8,FAN1:NM_001146095:exon2:c.1184_1194del:p.L395Pfs*8,FAN1:NM_001146096:exon2:c.1184_1194del:p.L395Pfs*8,FAN1:NM_014967:exon2:c.1184_1194del:p.L395Pfs*8;FAN1:uc001zfc.3:exon2:c.1184_1194del:p.L395Pfs*8,FAN1:uc001zfd.3:exon2:c.1184_1194del:p.L395Pfs*8,FAN1:uc001zff.3:exon2:c.1184_1194del:p.L395Pfs*8,FAN1:uc010azw.2:exon2:c.1184_1194del:p.L395Pfs*8;FAN1:ENST00000362065.9_4:exon2:c.1184_1194del:p.L395Pfs*8,FAN1:ENST00000561594.5_1:exon2:c.1184_1194del:p.L395Pfs*8,FAN1:ENST00000561607.6_2:exon2:c.1184_1194del:p.L395Pfs*8,FAN1:ENST00000565466.5_1:exon2:c.1184_1194del:p.L395Pfs*8,FAN1:ENST00000656435.1_2:exon2:c.1184_1194del:p.L395Pfs*8,FAN1:ENST00000657391.1_1:exon2:c.1184_1194del:p.L395Pfs*8,FAN1:ENST00000658773.1_1:exon2:c.1184_1194del:p.L395Pfs*8,FAN1:ENST00000670849.1_1:exon2:c.1184_1194del:p.L395Pfs*8</t>
  </si>
  <si>
    <t xml:space="preserve">1.46792582485245e-15</t>
  </si>
  <si>
    <t xml:space="preserve">FANCD2/FANCI-associated nuclease 1</t>
  </si>
  <si>
    <t xml:space="preserve">FUNCTION: Nuclease required for the repair of DNA interstrand cross-links (ICL) recruited at sites of DNA damage by monoubiquitinated FANCD2. Specifically involved in repair of ICL- induced DNA breaks by being required for efficient homologous recombination, probably in the resolution of homologous recombination intermediates (PubMed:20603015, PubMed:20603016, PubMed:20603073, PubMed:20671156, PubMed:24981866, PubMed:25430771). Not involved in DNA double-strand breaks resection (PubMed:20603015, PubMed:20603016). Acts as a 5'-3' exonuclease that anchors at a cut end of DNA and cleaves DNA successively at every third nucleotide, allowing to excise an ICL from one strand through flanking incisions. Probably keeps excising with 3'-flap annealing until it reaches and unhooks the ICL (PubMed:25430771). Acts at sites that have a 5'-terminal phosphate anchor at a nick or a 1- or 2-nucleotide flap and is augmented by a 3' flap (PubMed:25430771). Also has endonuclease activity toward 5'-flaps (PubMed:20603015, PubMed:20603016, PubMed:24981866). {ECO:0000269|PubMed:20603015, ECO:0000269|PubMed:20603016, ECO:0000269|PubMed:20603073, ECO:0000269|PubMed:20671156, ECO:0000269|PubMed:24981866, ECO:0000269|PubMed:25135477, ECO:0000269|PubMed:25430771}.; </t>
  </si>
  <si>
    <t xml:space="preserve">DISEASE: Interstitial nephritis, karyomegalic (KMIN) [MIM:614817]: A rare kidney disease characterized by chronic tubulointerstitial nephritis associated with massively enlarged tubular epithelial cell nuclei. The clinical picture is associated with recurrent upper respiratory tract infections in addition to chronic kidney disease beginning in the third decade of life. {ECO:0000269|PubMed:22772369}. Note=The disease is caused by mutations affecting the gene represented in this entry.; DISEASE: Note=Schizophrenia and autism. Schizophrenia is a severe psychiatric disorder characterized by positive, negative, and cognitive symptoms, and it is associated with increased mortality and severely reduced fecundity. Autim is a complex multifactorial, pervasive developmental disorder characterized by impairments in reciprocal social interaction and communication, restricted and stereotyped patterns of interests and activities, and the presence of developmental abnormalities by 3 years of age. Most individuals with autism also manifest moderate mental retardation.Disease susceptibility may be associated with variations affecting the gene represented in this entry. {ECO:0000269|PubMed:24344280}.; </t>
  </si>
  <si>
    <t xml:space="preserve">ANKRD63:NM_001190479:exon1:c.194_195del:p.R65Lfs*44;ANKRD63:uc021sjf.1:exon1:c.194_195del:p.R65Lfs*44;ANKRD63:ENST00000434396.2_4:exon1:c.194_195del:p.R65Lfs*44</t>
  </si>
  <si>
    <t xml:space="preserve">ankyrin repeat domain 63</t>
  </si>
  <si>
    <t xml:space="preserve">UTR3;intronic</t>
  </si>
  <si>
    <t xml:space="preserve">ENST00000676533.1_1:c.*27T&gt;G;ENST00000679094.1_1:c.*27T&gt;G</t>
  </si>
  <si>
    <t xml:space="preserve">0.00389629034560786</t>
  </si>
  <si>
    <t xml:space="preserve">NADH:ubiquinone oxidoreductase complex assembly factor 1</t>
  </si>
  <si>
    <t xml:space="preserve">FUNCTION: Chaperone protein involved in the assembly of the mitochondrial NADH:ubiquinone oxidoreductase complex (complex I). {ECO:0000250}.; </t>
  </si>
  <si>
    <t xml:space="preserve">197.64</t>
  </si>
  <si>
    <t xml:space="preserve">18,8</t>
  </si>
  <si>
    <t xml:space="preserve">2.21367341168049e-09;3.95491169061382e-09</t>
  </si>
  <si>
    <t xml:space="preserve">GRINL1A complex locus 1;myocardial zonula adherens protein</t>
  </si>
  <si>
    <t xml:space="preserve">FUNCTION: Plays a role in cellular signaling via Rho-related GTP- binding proteins and subsequent activation of transcription factor SRF (By similarity). Targets TJP1 to cell junctions. In cortical neurons, may play a role in glutaminergic signal transduction through interaction with the NMDA receptor subunit GRIN1 (By similarity). {ECO:0000250}.; ;FUNCTION: Plays a role in cellular signaling via Rho-related GTP- binding proteins and subsequent activation of transcription factor SRF (By similarity). Targets TJP1 to cell junctions. In cortical neurons, may play a role in glutaminergic signal transduction through interaction with the NMDA receptor subunit GRIN1 (By similarity). {ECO:0000250}.; </t>
  </si>
  <si>
    <t xml:space="preserve">408.60</t>
  </si>
  <si>
    <t xml:space="preserve">11,12</t>
  </si>
  <si>
    <t xml:space="preserve">UTR3;intronic;ncRNA_exonic</t>
  </si>
  <si>
    <t xml:space="preserve">NM_006049:c.*950delT</t>
  </si>
  <si>
    <t xml:space="preserve">0.994501270366062;1.40204453241569e-05</t>
  </si>
  <si>
    <t xml:space="preserve">mitogen-activated protein kinase kinase 1;small nuclear RNA activating complex polypeptide 5</t>
  </si>
  <si>
    <t xml:space="preserve">FUNCTION: Dual specificity protein kinase which acts as an essential component of the MAP kinase signal transduction pathway. Binding of extracellular ligands such as growth factors, cytokines and hormones to their cell-surface receptors activates RAS and this initiates RAF1 activation. RAF1 then further activates the dual-specificity protein kinases MAP2K1/MEK1 and MAP2K2/MEK2. Both MAP2K1/MEK1 and MAP2K2/MEK2 function specifically in the MAPK/ERK cascade, and catalyze the concomitant phosphorylation of a threonine and a tyrosine residue in a Thr-Glu-Tyr sequence located in the extracellular signal-regulated kinases MAPK3/ERK1 and MAPK1/ERK2, leading to their activation and further transduction of the signal within the MAPK/ERK cascade. Depending on the cellular context, this pathway mediates diverse biological functions such as cell growth, adhesion, survival and differentiation, predominantly through the regulation of transcription, metabolism and cytoskeletal rearrangements. One target of the MAPK/ERK cascade is peroxisome proliferator- activated receptor gamma (PPARG), a nuclear receptor that promotes differentiation and apoptosis. MAP2K1/MEK1 has been shown to export PPARG from the nucleus. The MAPK/ERK cascade is also involved in the regulation of endosomal dynamics, including lysosome processing and endosome cycling through the perinuclear recycling compartment (PNRC), as well as in the fragmentation of the Golgi apparatus during mitosis. {ECO:0000269|PubMed:14737111, ECO:0000269|PubMed:17101779}.; ;FUNCTION: Part of the SNAPc complex required for the transcription of both RNA polymerase II and III small-nuclear RNA genes. Binds to the proximal sequence element (PSE), a non-TATA-box basal promoter element common to these 2 types of genes. Recruits TBP and BRF2 to the U6 snRNA TATA box.; </t>
  </si>
  <si>
    <t xml:space="preserve">DISEASE: Cardiofaciocutaneous syndrome 3 (CFC3) [MIM:615279]: A form of cardiofaciocutaneous syndrome, a multiple congenital anomaly disorder characterized by a distinctive facial appearance, heart defects and mental retardation. Heart defects include pulmonic stenosis, atrial septal defects and hypertrophic cardiomyopathy. Some affected individuals present with ectodermal abnormalities such as sparse, friable hair, hyperkeratotic skin lesions and a generalized ichthyosis-like condition. Typical facial features are similar to Noonan syndrome. They include high forehead with bitemporal constriction, hypoplastic supraorbital ridges, downslanting palpebral fissures, a depressed nasal bridge, and posteriorly angulated ears with prominent helices. Distinctive features of CFC3 include macrostomia and horizontal shape of palpebral fissures. {ECO:0000269|PubMed:16439621, ECO:0000269|PubMed:18042262}. Note=The disease is caused by mutations affecting the gene represented in this entry.; </t>
  </si>
  <si>
    <t xml:space="preserve">941.64</t>
  </si>
  <si>
    <t xml:space="preserve">29,32</t>
  </si>
  <si>
    <t xml:space="preserve">NM_000875:c.*4884G&gt;A;NM_001291858:c.*4884G&gt;A;uc002bul.3:c.*4884G&gt;A;uc010bon.3:c.*4884G&gt;A</t>
  </si>
  <si>
    <t xml:space="preserve">85.14</t>
  </si>
  <si>
    <t xml:space="preserve">0,4</t>
  </si>
  <si>
    <t xml:space="preserve">3.82852764002745e-11</t>
  </si>
  <si>
    <t xml:space="preserve">ADAM metallopeptidase with thrombospondin type 1 motif 17</t>
  </si>
  <si>
    <t xml:space="preserve">DISEASE: Weill-Marchesani-like syndrome (WMLS) [MIM:613195]: A disorder characterized by many of the key features of Weill- Marchesani syndrome, including lenticular myopia, ectopia lentis, glaucoma, spherophakia and short stature. However, the characteristic brachydactyly or decreased joint flexibility of Weill-Marchesani syndrome are absent. {ECO:0000269|PubMed:19836009}. Note=The disease is caused by mutations affecting the gene represented in this entry.; </t>
  </si>
  <si>
    <t xml:space="preserve">453.64</t>
  </si>
  <si>
    <t xml:space="preserve">19,14</t>
  </si>
  <si>
    <t xml:space="preserve">139.64</t>
  </si>
  <si>
    <t xml:space="preserve">0.164212796735953;1.25776709985289e-09</t>
  </si>
  <si>
    <t xml:space="preserve">LUC7-like;regulator of G-protein signaling 11</t>
  </si>
  <si>
    <t xml:space="preserve">FUNCTION: Inhibits signal transduction by increasing the GTPase activity of G protein alpha subunits thereby driving them into their inactive GDP-bound form.; ;FUNCTION: May bind to RNA via its Arg/Ser-rich domain. {ECO:0000269|PubMed:11170747}.; </t>
  </si>
  <si>
    <t xml:space="preserve">378.64</t>
  </si>
  <si>
    <t xml:space="preserve">1.14509473311795e-14</t>
  </si>
  <si>
    <t xml:space="preserve">LMF1 antisense RNA 1;lipase maturation factor 1</t>
  </si>
  <si>
    <t xml:space="preserve">FUNCTION: Involved in the maturation of specific proteins in the endoplasmic reticulum. Required for maturation and transport of active lipoprotein lipase (LPL) through the secretory pathway. Each LMF1 molecule chaperones 50 or more molecules of LPL. {ECO:0000250, ECO:0000269|PubMed:24909692}.; </t>
  </si>
  <si>
    <t xml:space="preserve">DISEASE: Combined lipase deficiency (CLD) [MIM:246650]: Characterized by repeated episodes of pancreatitis, tuberous xanthomas and lipodystrophy and is caused by deficiency of both lipoprotein lipase (LPL) and hepatic triglyceride lipase (HTGL). {ECO:0000269|PubMed:17994020}. Note=The disease is caused by mutations affecting the gene represented in this entry.; </t>
  </si>
  <si>
    <t xml:space="preserve">2,7</t>
  </si>
  <si>
    <t xml:space="preserve">9.13769895125714e-18</t>
  </si>
  <si>
    <t xml:space="preserve">intraflagellar transport 140</t>
  </si>
  <si>
    <t xml:space="preserve">FUNCTION: Component of the IFT complex A (IFT-A), a complex required for retrograde ciliary transport. Plays a pivotal role in proper development and function of ciliated cells. Involved in ciliogenesis and cilia maintenance. {ECO:0000269|PubMed:22503633}.; </t>
  </si>
  <si>
    <t xml:space="preserve">DISEASE: Short-rib thoracic dysplasia 9 with or without polydactyly (SRTD9) [MIM:266920]: A form of short-rib thoracic dysplasia, a group of autosomal recessive ciliopathies that are characterized by a constricted thoracic cage, short ribs, shortened tubular bones, and a 'trident' appearance of the acetabular roof. Polydactyly is variably present. Non-skeletal involvement can include cleft lip/palate as well as anomalies of major organs such as the brain, eye, heart, kidneys, liver, pancreas, intestines, and genitalia. Some forms of the disease are lethal in the neonatal period due to respiratory insufficiency secondary to a severely restricted thoracic cage, whereas others are compatible with life. Disease spectrum encompasses Ellis-van Creveld syndrome, asphyxiating thoracic dystrophy (Jeune syndrome), Mainzer-Saldino syndrome, and short rib-polydactyly syndrome. SRTD9 is characterized by phalangeal cone-shaped epiphyses, chronic renal disease, nearly constant retinal dystrophy, and mild radiographic abnormality of the proximal femur. Occasional features include short stature, cerebellar ataxia, and hepatic fibrosis. {ECO:0000269|PubMed:22503633, ECO:0000269|PubMed:23418020}. Note=The disease is caused by mutations affecting the gene represented in this entry.; </t>
  </si>
  <si>
    <t xml:space="preserve">10,9</t>
  </si>
  <si>
    <t xml:space="preserve">0.999905331991465</t>
  </si>
  <si>
    <t xml:space="preserve">polycystin 1, transient receptor potential channel interacting</t>
  </si>
  <si>
    <t xml:space="preserve">FUNCTION: Involved in renal tubulogenesis (PubMed:12482949). Involved in fluid-flow mechanosensation by the primary cilium in renal epithelium (By similarity). Acts as a regulator of cilium length, together with PKD2 (By similarity). The dynamic control of cilium length is essential in the regulation of mechanotransductive signaling (By similarity). The cilium length response creates a negative feedback loop whereby fluid shear- mediated deflection of the primary cilium, which decreases intracellular cAMP, leads to cilium shortening and thus decreases flow-induced signaling (By similarity). May be an ion-channel regulator. Involved in adhesive protein-protein and protein- carbohydrate interactions. {ECO:0000250|UniProtKB:O08852, ECO:0000269|PubMed:12482949}.; </t>
  </si>
  <si>
    <t xml:space="preserve">DISEASE: Polycystic kidney disease 1 (PKD1) [MIM:173900]: A disorder characterized by renal cysts, liver cysts and intracranial aneurysm. Clinical variability is due to differences in the rate of loss of glomerular filtration, the age of reaching end-stage renal disease and the occurrence of hypertension, symptomatic extrarenal cysts, and subarachnoid hemorrhage from intracranial 'berry' aneurysm. {ECO:0000269|PubMed:10200984, ECO:0000269|PubMed:10364515, ECO:0000269|PubMed:10577909, ECO:0000269|PubMed:10647901, ECO:0000269|PubMed:10729710, ECO:0000269|PubMed:10854095, ECO:0000269|PubMed:10923040, ECO:0000269|PubMed:10987650, ECO:0000269|PubMed:11012875, ECO:0000269|PubMed:11058904, ECO:0000269|PubMed:11115377, ECO:0000269|PubMed:11216660, ECO:0000269|PubMed:11316854, ECO:0000269|PubMed:11558899, ECO:0000269|PubMed:11571556, ECO:0000269|PubMed:11691639, ECO:0000269|PubMed:11773467, ECO:0000269|PubMed:11857740, ECO:0000269|PubMed:11967008, ECO:0000269|PubMed:12007219, ECO:0000269|PubMed:12070253, ECO:0000269|PubMed:12220456, ECO:0000269|PubMed:12842373, ECO:0000269|PubMed:15772804, ECO:0000269|PubMed:18837007, ECO:0000269|PubMed:21115670, ECO:0000269|PubMed:22508176, ECO:0000269|PubMed:8554072, ECO:0000269|PubMed:9199561, ECO:0000269|PubMed:9259200, ECO:0000269|PubMed:9285784, ECO:0000269|PubMed:9521593, ECO:0000269|PubMed:9921908}. Note=The disease is caused by mutations affecting the gene represented in this entry.; </t>
  </si>
  <si>
    <t xml:space="preserve">181.64</t>
  </si>
  <si>
    <t xml:space="preserve">0.999999999999794</t>
  </si>
  <si>
    <t xml:space="preserve">CREB binding protein</t>
  </si>
  <si>
    <t xml:space="preserve">FUNCTION: Acetylates histones, giving a specific tag for transcriptional activation. Also acetylates non-histone proteins, like NCOA3 and FOXO1. Binds specifically to phosphorylated CREB and enhances its transcriptional activity toward cAMP-responsive genes. Acts as a coactivator of ALX1. Acts as a circadian transcriptional coactivator which enhances the activity of the circadian transcriptional activators: NPAS2-ARNTL/BMAL1 and CLOCK- ARNTL/BMAL1 heterodimers. Acetylates PCNA; acetylation promotes removal of chromatin-bound PCNA and its degradation during nucleotide excision repair (NER) (PubMed:24939902). {ECO:0000269|PubMed:11154691, ECO:0000269|PubMed:12738767, ECO:0000269|PubMed:12929931, ECO:0000269|PubMed:14645221, ECO:0000269|PubMed:24939902, ECO:0000269|PubMed:9707565}.; </t>
  </si>
  <si>
    <t xml:space="preserve">DISEASE: Note=Chromosomal aberrations involving CREBBP may be a cause of acute myeloid leukemias. Translocation t(8;16)(p11;p13) with KAT6A; translocation t(11;16)(q23;p13.3) with KMT2A/MLL1; translocation t(10;16)(q22;p13) with KAT6B. KAT6A-CREBBP may induce leukemia by inhibiting RUNX1-mediated transcription.; DISEASE: Rubinstein-Taybi syndrome 1 (RSTS1) [MIM:180849]: A disorder characterized by craniofacial abnormalities, postnatal growth deficiency, broad thumbs, broad big toes, mental retardation and a propensity for development of malignancies. {ECO:0000269|PubMed:11331617, ECO:0000269|PubMed:12114483, ECO:0000269|PubMed:12566391, ECO:0000269|PubMed:15706485, ECO:0000269|PubMed:20684013, ECO:0000269|PubMed:25388907}. Note=The disease is caused by mutations affecting the gene represented in this entry.; </t>
  </si>
  <si>
    <t xml:space="preserve">16,9</t>
  </si>
  <si>
    <t xml:space="preserve">5.52076952261577e-19</t>
  </si>
  <si>
    <t xml:space="preserve">nucleotide binding oligomerization domain containing 2</t>
  </si>
  <si>
    <t xml:space="preserve">FUNCTION: Involved in gastrointestinal immunity. Upon stimulation by muramyl dipeptide (MDP), a fragment of bacterial peptidoglycan, binds the proximal adapter receptor-interacting RIPK2, which recruits ubiquitin ligases as XIAP, BIRC2, BIRC3 and the LUBAC complex, triggering activation of MAP kinases and activation of NF-kappa-B signaling. This in turn leads to the transcriptional activation of hundreds of genes involved in immune response. Required for MDP-induced NLRP1-dependent CASP1 activation and IL1B release in macrophages (PubMed:18511561). {ECO:0000269|PubMed:18511561, ECO:0000269|PubMed:23806334}.; </t>
  </si>
  <si>
    <t xml:space="preserve">DISEASE: Blau syndrome (BLAUS) [MIM:186580]: A rare autosomal dominant disorder characterized by early-onset granulomatous arthritis, uveitis and skin rash. {ECO:0000269|PubMed:11528384, ECO:0000269|PubMed:15812565, ECO:0000269|PubMed:19116920, ECO:0000269|PubMed:19169908, ECO:0000269|PubMed:19479837, ECO:0000269|PubMed:20199415, ECO:0000269|PubMed:24960071, ECO:0000269|PubMed:25093298, ECO:0000269|PubMed:25692065, ECO:0000269|PubMed:25724124}. Note=The disease is caused by mutations affecting the gene represented in this entry.; DISEASE: Inflammatory bowel disease 1 (IBD1) [MIM:266600]: A chronic, relapsing inflammation of the gastrointestinal tract with a complex etiology. It is subdivided into Crohn disease and ulcerative colitis phenotypes. Crohn disease may affect any part of the gastrointestinal tract from the mouth to the anus, but most frequently it involves the terminal ileum and colon. Bowel inflammation is transmural and discontinuous; it may contain granulomas or be associated with intestinal or perianal fistulas. In contrast, in ulcerative colitis, the inflammation is continuous and limited to rectal and colonic mucosal layers; fistulas and granulomas are not observed. Both diseases include extraintestinal inflammation of the skin, eyes, or joints. {ECO:0000269|PubMed:11385576}. Note=Disease susceptibility is associated with variations affecting the gene represented in this entry.; DISEASE: Sarcoidosis early-onset (EOS) [MIM:609464]: A form of sarcoidosis manifesting in children younger than 4 years of age. Sarcoidosis is an idiopathic, systemic, inflammatory disease characterized by the formation of immune granulomas in involved organs. Granulomas predominantly invade the lungs and the lymphatic system, but also skin, liver, spleen, eyes and other organs may be involved. Early-onset sarcoidosis is quite rare and has a distinct triad of skin, joint and eye disorders, without apparent pulmonary involvement. Compared with an asymptomatic and sometimes naturally disappearing course of the disease in older children, early-onset sarcoidosis is progressive and in many cases causes severe complications, such as blindness, joint destruction and visceral involvement. {ECO:0000269|PubMed:15459013, ECO:0000269|PubMed:19116920, ECO:0000269|PubMed:19359344, ECO:0000269|PubMed:25093298}. Note=The disease is caused by mutations affecting the gene represented in this entry.; </t>
  </si>
  <si>
    <t xml:space="preserve">93.58</t>
  </si>
  <si>
    <t xml:space="preserve">15,6</t>
  </si>
  <si>
    <t xml:space="preserve">UTR5;ncRNA_exonic;upstream</t>
  </si>
  <si>
    <t xml:space="preserve">dist=573;uc002ewf.2:c.-644_-643del-;uc010vli.1:c.-31654_-31653del-</t>
  </si>
  <si>
    <t xml:space="preserve">1.8060327648012e-08</t>
  </si>
  <si>
    <t xml:space="preserve">cadherin 3</t>
  </si>
  <si>
    <t xml:space="preserve">FUNCTION: Cadherins are calcium-dependent cell adhesion proteins. They preferentially interact with themselves in a homophilic manner in connecting cells; cadherins may thus contribute to the sorting of heterogeneous cell types.; </t>
  </si>
  <si>
    <t xml:space="preserve">DISEASE: Hypotrichosis congenital with juvenile macular dystrophy (HJMD) [MIM:601553]: A disorder characterized by congenital hypotrichosis, early hair loss, and severe degenerative changes of the retinal macula that culminate in blindness during the second to third decade of life. {ECO:0000269|PubMed:11544476, ECO:0000269|PubMed:12445216}. Note=The disease is caused by mutations affecting the gene represented in this entry.; DISEASE: Ectodermal dysplasia, ectrodactyly, and macular dystrophy syndrome (EEMS) [MIM:225280]: A form of ectodermal dysplasia, a heterogeneous group of disorders due to abnormal development of two or more ectodermal structures. It is an autosomal recessive condition characterized by features of ectodermal dysplasia such as sparse eyebrows and scalp hair, and selective tooth agenesis associated with macular dystrophy and ectrodactyly. {ECO:0000269|PubMed:15805154}. Note=The disease is caused by mutations affecting the gene represented in this entry.; </t>
  </si>
  <si>
    <t xml:space="preserve">1446.60</t>
  </si>
  <si>
    <t xml:space="preserve">98</t>
  </si>
  <si>
    <t xml:space="preserve">51,47</t>
  </si>
  <si>
    <t xml:space="preserve">HYDIN:NM_001270974:exon69:c.11712delT:p.Q3905Rfs*5;HYDIN:uc031qwy.1:exon69:c.11712delT:p.Q3905Rfs*5;HYDIN:ENST00000393567.7_8:exon69:c.11712delT:p.Q3905Rfs*5</t>
  </si>
  <si>
    <t xml:space="preserve">169.64</t>
  </si>
  <si>
    <t xml:space="preserve">0.0214384440123944</t>
  </si>
  <si>
    <t xml:space="preserve">tyrosine aminotransferase</t>
  </si>
  <si>
    <t xml:space="preserve">FUNCTION: Transaminase involved in tyrosine breakdown. Converts tyrosine to p-hydroxyphenylpyruvate. Can catalyze the reverse reaction, using glutamic acid, with 2-oxoglutarate as cosubstrate (in vitro). Has much lower affinity and transaminase activity towards phenylalanine. {ECO:0000269|PubMed:16640556, ECO:0000269|PubMed:7999802}.; </t>
  </si>
  <si>
    <t xml:space="preserve">DISEASE: Tyrosinemia 2 (TYRSN2) [MIM:276600]: An inborn error of metabolism characterized by elevations of tyrosine in the blood and urine, and oculocutaneous manifestations. Typical features include palmoplantar keratosis, painful corneal ulcers, and mental retardation. {ECO:0000269|PubMed:1357662}. Note=The disease is caused by mutations affecting the gene represented in this entry.; </t>
  </si>
  <si>
    <t xml:space="preserve">GAAAA</t>
  </si>
  <si>
    <t xml:space="preserve">0</t>
  </si>
  <si>
    <t xml:space="preserve">156.81</t>
  </si>
  <si>
    <t xml:space="preserve">0,4,11</t>
  </si>
  <si>
    <t xml:space="preserve">0.999993046683293</t>
  </si>
  <si>
    <t xml:space="preserve">phospholipase C gamma 2</t>
  </si>
  <si>
    <t xml:space="preserve">FUNCTION: The production of the second messenger molecules diacylglycerol (DAG) and inositol 1,4,5-trisphosphate (IP3) is mediated by activated phosphatidylinositol-specific phospholipase C enzymes. It is a crucial enzyme in transmembrane signaling.; </t>
  </si>
  <si>
    <t xml:space="preserve">DISEASE: Familial cold autoinflammatory syndrome 3 (FCAS3) [MIM:614468]: An autosomal dominant immune disorder characterized by the development of cutaneous urticaria, erythema, and pruritis in response to cold exposure. Affected individuals have variable additional immunologic defects, including antibody deficiency, decreased numbers of B-cells, defective B-cells, increased susceptibility to infection, and increased risk of autoimmune disorders. {ECO:0000269|PubMed:22236196}. Note=The disease is caused by mutations affecting the gene represented in this entry.; DISEASE: Autoinflammation, antibody deficiency, and immune dysregulation PLCG2-associated (APLAID) [MIM:614878]: An autosomal dominant systemic disorder characterized by recurrent blistering skin lesions with a dense inflammatory infiltrate and variable involvement of other tissues, including joints, the eye, and the gastrointestinal tract. Affected individuals have a mild humoral immune deficiency associated with recurrent sinopulmonary infections, but no evidence of circulating autoantibodies. {ECO:0000269|PubMed:23000145}. Note=The disease is caused by mutations affecting the gene represented in this entry.; </t>
  </si>
  <si>
    <t xml:space="preserve">961.06</t>
  </si>
  <si>
    <t xml:space="preserve">0,30</t>
  </si>
  <si>
    <t xml:space="preserve">1.63023438294019e-13</t>
  </si>
  <si>
    <t xml:space="preserve">copine 7</t>
  </si>
  <si>
    <t xml:space="preserve">FUNCTION: Calcium-dependent phospholipid-binding protein that may play a role in calcium-mediated intracellular processes. {ECO:0000250|UniProtKB:Q99829}.; </t>
  </si>
  <si>
    <t xml:space="preserve">3.89020504800004e-08</t>
  </si>
  <si>
    <t xml:space="preserve">myosin IC</t>
  </si>
  <si>
    <t xml:space="preserve">FUNCTION: Myosins are actin-based motor molecules with ATPase activity. Unconventional myosins serve in intracellular movements. Their highly divergent tails are presumed to bind to membranous compartments, which would be moved relative to actin filaments. Involved in glucose transporter recycling in response to insulin by regulating movement of intracellular GLUT4-containing vesicles to the plasma membrane. Component of the hair cell's (the sensory cells of the inner ear) adaptation-motor complex. Acts as a mediator of adaptation of mechanoelectrical transduction in stereocilia of vestibular hair cells. Binds phosphoinositides and links the actin cytoskeleton to cellular membranes. {ECO:0000269|PubMed:24636949}.; </t>
  </si>
  <si>
    <t xml:space="preserve">978.64</t>
  </si>
  <si>
    <t xml:space="preserve">39,34</t>
  </si>
  <si>
    <t xml:space="preserve">0.000660074291001061</t>
  </si>
  <si>
    <t xml:space="preserve">scavenger receptor class F member 1</t>
  </si>
  <si>
    <t xml:space="preserve">FUNCTION: Mediates the binding and degradation of acetylated low density lipoprotein (Ac-LDL). Mediates heterophilic interactions, suggesting a function as adhesion protein. Plays a role in the regulation of neurite-like outgrowth (By similarity). {ECO:0000250}.; </t>
  </si>
  <si>
    <t xml:space="preserve">1092.64</t>
  </si>
  <si>
    <t xml:space="preserve">49,38</t>
  </si>
  <si>
    <t xml:space="preserve">NM_182538:exon9:c.1179+1G&gt;C;NM_001320449:exon8:c.798+1G&gt;C;uc002fxt.3:exon9:c.1179+1G&gt;C;uc002fxu.3:exon8:c.798+1G&gt;C;ENST00000355530.7_3:exon9:c.1179+1G&gt;C</t>
  </si>
  <si>
    <t xml:space="preserve">2.77218256786725e-10</t>
  </si>
  <si>
    <t xml:space="preserve">spinster homolog 3 (Drosophila)</t>
  </si>
  <si>
    <t xml:space="preserve">FUNCTION: Sphingolipid transporter. {ECO:0000250}.; </t>
  </si>
  <si>
    <t xml:space="preserve">422.64</t>
  </si>
  <si>
    <t xml:space="preserve">15,14</t>
  </si>
  <si>
    <t xml:space="preserve">uc010cnp.3:c.-206A&gt;G</t>
  </si>
  <si>
    <t xml:space="preserve">1.91964555587148e-12</t>
  </si>
  <si>
    <t xml:space="preserve">arachidonate 15-lipoxygenase, type B</t>
  </si>
  <si>
    <t xml:space="preserve">FUNCTION: Non-heme iron-containing dioxygenase that catalyzes the stereo-specific peroxidation of free and esterified polyunsaturated fatty acids generating a spectrum of bioactive lipid mediators. Converts arachidonic acid to 15S- hydroperoxyeicosatetraenoic acid/(15S)-HPETE. Also acts on linoleic acid to produce 13-hydroxyoctadecadienoic acid/13-HPODE. Has no detectable 8S-lipoxygenase activity but reacts with (8S)- HPETE to produce (8S,15S)-diHPETE. May regulate progression through the cell cycle and cell proliferation. May also regulate cytokine secretion by macrophages and therefore play a role in the immune response. May also regulate macrophage differentiation into proatherogenic foam cells. {ECO:0000269|PubMed:10625675, ECO:0000269|PubMed:11839751, ECO:0000269|PubMed:12704195, ECO:0000269|PubMed:16112079, ECO:0000269|PubMed:18067895, ECO:0000269|PubMed:22912809, ECO:0000269|PubMed:24497644}.; </t>
  </si>
  <si>
    <t xml:space="preserve">0.817693684157708</t>
  </si>
  <si>
    <t xml:space="preserve">phosphoinositide-3-kinase regulatory subunit 5</t>
  </si>
  <si>
    <t xml:space="preserve">FUNCTION: Regulatory subunit of the PI3K gamma complex. Required for recruitment of the catalytic subunit to the plasma membrane via interaction with beta-gamma G protein dimers. Required for G protein-mediated activation of PIK3CG (By similarity). {ECO:0000250}.; </t>
  </si>
  <si>
    <t xml:space="preserve">DISEASE: Ataxia-oculomotor apraxia 3 (AOA3) [MIM:615217]: An autosomal recessive disease characterized by cerebellar ataxia, oculomotor apraxia, areflexia and peripheral neuropathy. {ECO:0000269|PubMed:22065524}. Note=The disease is caused by mutations affecting the gene represented in this entry.; </t>
  </si>
  <si>
    <t xml:space="preserve">160.02</t>
  </si>
  <si>
    <t xml:space="preserve">2,5,6</t>
  </si>
  <si>
    <t xml:space="preserve">TOM1L2:uc010vxb.2:exon7:c.791dupT:p.P265Sfs*15</t>
  </si>
  <si>
    <t xml:space="preserve">0.414475507742354</t>
  </si>
  <si>
    <t xml:space="preserve">target of myb1 like 2 membrane trafficking protein</t>
  </si>
  <si>
    <t xml:space="preserve">FUNCTION: Probable role in protein transport. May regulate growth factor-induced mitogenic signaling. {ECO:0000269|PubMed:16412388, ECO:0000269|PubMed:16479011}.; </t>
  </si>
  <si>
    <t xml:space="preserve">AAA</t>
  </si>
  <si>
    <t xml:space="preserve">106.60</t>
  </si>
  <si>
    <t xml:space="preserve">16,6</t>
  </si>
  <si>
    <t xml:space="preserve">NM_178170:c.*778_*780delAAA;uc002hcp.3:c.*778_*779delAAA</t>
  </si>
  <si>
    <t xml:space="preserve">1.56481397745759e-06</t>
  </si>
  <si>
    <t xml:space="preserve">NIMA related kinase 8</t>
  </si>
  <si>
    <t xml:space="preserve">FUNCTION: Required for renal tubular integrity. May regulate local cytoskeletal structure in kidney tubule epithelial cells. May regulate ciliary biogenesis through targeting of proteins to the cilia (By similarity). Plays a role in organogenesis and is involved in the regulation of the Hippo signaling pathway. {ECO:0000250, ECO:0000269|PubMed:23418306}.; </t>
  </si>
  <si>
    <t xml:space="preserve">DISEASE: Renal-hepatic-pancreatic dysplasia 2 (RHPD2) [MIM:615415]: A form of renal-hepatic-pancreatic dysplasia, a disease characterized by cystic malformations of the kidneys, liver, and pancreas. The pathological findings consist of multicystic dysplastic kidneys, dilated and dysgenetic bile ducts, a dysplastic pancreas with dilated ducts, cysts, fibrosis and inflammatory infiltrates. {ECO:0000269|PubMed:23418306}. Note=The disease is caused by mutations affecting the gene represented in this entry.; </t>
  </si>
  <si>
    <t xml:space="preserve">222.64</t>
  </si>
  <si>
    <t xml:space="preserve">3,7</t>
  </si>
  <si>
    <t xml:space="preserve">0.000130733468322774</t>
  </si>
  <si>
    <t xml:space="preserve">tensin 4</t>
  </si>
  <si>
    <t xml:space="preserve">FUNCTION: May be involved in cell migration, cartilage development and in linking signal transduction pathways to the cytoskeleton (By similarity). May promote apoptosis, via its cleavage by caspase-3. {ECO:0000250}.; </t>
  </si>
  <si>
    <t xml:space="preserve">5.0932770269769e-13</t>
  </si>
  <si>
    <t xml:space="preserve">keratin 24</t>
  </si>
  <si>
    <t xml:space="preserve">257.02</t>
  </si>
  <si>
    <t xml:space="preserve">3,5,8</t>
  </si>
  <si>
    <t xml:space="preserve">NM_001369513:c.*2365_*2363delTTT;NM_001384986:c.*2459_*2457delTTT;NM_001384990:c.*2459_*2457delTTT;NM_213662:c.*2459_*2457delTTT;NM_001384988:c.*2365_*2363delTTT;NM_001369512:c.*2365_*2363delTTT;NM_001384993:c.*2365_*2363delTTT;NM_001369514:c.*2365_*2363delTTT;NM_139276:c.*2365_*2363delTTT;NM_003150:c.*2365_*2363delTTT;NM_001384985:c.*2365_*2363delTTT;NM_001384992:c.*2365_*2363delTTT;NM_001384989:c.*2365_*2363delTTT;NM_001384984:c.*2365_*2363delTTT;NM_001384991:c.*2365_*2363delTTT;NM_001384987:c.*2365_*2363delTTT;NM_001369518:c.*2459_*2457delTTT;NM_001369517:c.*2459_*2457delTTT;NM_001369516:c.*2365_*2363delTTT;NM_001369520:c.*2459_*2457delTTT;NM_001369519:c.*2459_*2457delTTT;ENST00000264657.10_6:c.*2365_*2363delTTT</t>
  </si>
  <si>
    <t xml:space="preserve">0.999989193151158</t>
  </si>
  <si>
    <t xml:space="preserve">signal transducer and activator of transcription 3 (acute-phase response factor)</t>
  </si>
  <si>
    <t xml:space="preserve">FUNCTION: Signal transducer and transcription activator that mediates cellular responses to interleukins, KITLG/SCF, LEP and other growth factors. Once activated, recruits coactivators, such as NCOA1 or MED1, to the promoter region of the target gene (PubMed:17344214). May mediate cellular responses to activated FGFR1, FGFR2, FGFR3 and FGFR4. Binds to the interleukin-6 (IL-6)- responsive elements identified in the promoters of various acute- phase protein genes. Activated by IL31 through IL31RA. Involved in cell cycle regulation by inducing the expression of key genes for the progression from G1 to S phase, such as CCND1 (PubMed:17344214). Mediates the effects of LEP on melanocortin production, body energy homeostasis and lactation (By similarity). May play an apoptotic role by transctivating BIRC5 expression under LEP activation (PubMed:18242580). Cytoplasmic STAT3 represses macroautophagy by inhibiting EIF2AK2/PKR activity. {ECO:0000250|UniProtKB:P42227, ECO:0000269|PubMed:10688651, ECO:0000269|PubMed:12359225, ECO:0000269|PubMed:12873986, ECO:0000269|PubMed:15194700, ECO:0000269|PubMed:17344214, ECO:0000269|PubMed:18242580, ECO:0000269|PubMed:23084476}.; </t>
  </si>
  <si>
    <t xml:space="preserve">DISEASE: Hyperimmunoglobulin E recurrent infection syndrome, autosomal dominant (AD-HIES) [MIM:147060]: A rare disorder of immunity and connective tissue characterized by immunodeficiency, chronic eczema, recurrent Staphylococcal infections, increased serum IgE, eosinophilia, distinctive coarse facial appearance, abnormal dentition, hyperextensibility of the joints, and bone fractures. {ECO:0000269|PubMed:17676033, ECO:0000269|PubMed:17881745, ECO:0000269|PubMed:23342295}. Note=The disease is caused by mutations affecting the gene represented in this entry.; DISEASE: Autoimmune disease, multisystem, infantile-onset (ADMIO) [MIM:615952]: A disorder characterized by early childhood onset of a spectrum of autoimmune manifestations affecting multiple organs, including insulin-dependent diabetes mellitus and autoimmune enteropathy or celiac disease. Other features include short stature, non-specific dermatitis, hypothyroidism, autoimmune arthritis, and delayed puberty. {ECO:0000269|PubMed:25038750}. Note=The disease is caused by mutations affecting the gene represented in this entry.; </t>
  </si>
  <si>
    <t xml:space="preserve">NM_001369513:c.*2363delT;NM_001384986:c.*2457delT;NM_001384990:c.*2457delT;NM_213662:c.*2457delT;NM_001384988:c.*2363delT;NM_001369512:c.*2363delT;NM_001384993:c.*2363delT;NM_001369514:c.*2363delT;NM_139276:c.*2363delT;NM_003150:c.*2363delT;NM_001384985:c.*2363delT;NM_001384992:c.*2363delT;NM_001384989:c.*2363delT;NM_001384984:c.*2363delT;NM_001384991:c.*2363delT;NM_001384987:c.*2363delT;NM_001369518:c.*2457delT;NM_001369517:c.*2457delT;NM_001369516:c.*2363delT;NM_001369520:c.*2457delT;NM_001369519:c.*2457delT;ENST00000264657.10_6:c.*2363delT</t>
  </si>
  <si>
    <t xml:space="preserve">0.0277110067491567</t>
  </si>
  <si>
    <t xml:space="preserve">ABI family member 3</t>
  </si>
  <si>
    <t xml:space="preserve">FUNCTION: May inhibit tumor metastasis (By similarity). In vitro, reduces cell motility. {ECO:0000250, ECO:0000269|PubMed:11956071}.; </t>
  </si>
  <si>
    <t xml:space="preserve">0.99999996584406</t>
  </si>
  <si>
    <t xml:space="preserve">tetratricopeptide repeat, ankyrin repeat and coiled-coil containing 2</t>
  </si>
  <si>
    <t xml:space="preserve">132.64</t>
  </si>
  <si>
    <t xml:space="preserve">7,4</t>
  </si>
  <si>
    <t xml:space="preserve">0.91361398180331</t>
  </si>
  <si>
    <t xml:space="preserve">endoplasmic reticulum to nucleus signaling 1</t>
  </si>
  <si>
    <t xml:space="preserve">FUNCTION: Senses unfolded proteins in the lumen of the endoplasmic reticulum via its N-terminal domain which leads to enzyme auto- activation. The active endoribonuclease domain splices XBP1 mRNA to generate a new C-terminus, converting it into a potent unfolded-protein response transcriptional activator and triggering growth arrest and apoptosis. {ECO:0000250|UniProtKB:Q9EQY0, ECO:0000269|PubMed:11175748, ECO:0000269|PubMed:12637535, ECO:0000269|PubMed:9637683}.; </t>
  </si>
  <si>
    <t xml:space="preserve">17,13</t>
  </si>
  <si>
    <t xml:space="preserve">1.71937025604407e-33</t>
  </si>
  <si>
    <t xml:space="preserve">ATP binding cassette subfamily A member 8</t>
  </si>
  <si>
    <t xml:space="preserve">FUNCTION: ATP-dependent lipophilic drug transporter. {ECO:0000269|PubMed:12379217}.; </t>
  </si>
  <si>
    <t xml:space="preserve">492.64</t>
  </si>
  <si>
    <t xml:space="preserve">23,17</t>
  </si>
  <si>
    <t xml:space="preserve">UTR5;exonic;intronic</t>
  </si>
  <si>
    <t xml:space="preserve">C1QTNF1:uc002jwt.3:exon1:c.C232T:p.Q78X;ENST00000580474.1_5:c.-63C&gt;T</t>
  </si>
  <si>
    <t xml:space="preserve">7.24017785005128e-05</t>
  </si>
  <si>
    <t xml:space="preserve">C1q and tumor necrosis factor related protein 1</t>
  </si>
  <si>
    <t xml:space="preserve">GCCGCTGCCGACCTCGCTGCCGCTGCCGACCTCGCTGT</t>
  </si>
  <si>
    <t xml:space="preserve">189.60</t>
  </si>
  <si>
    <t xml:space="preserve">UTR5;splicing</t>
  </si>
  <si>
    <t xml:space="preserve">NM_014740:c.-32_-69delACAGCGAGGTCGGCAGCGGCAGCGAGGTCGGCAGCGGC;uc010wuc.2:c.-50_-69delACAGCGAGGTCGGCAGCGGCAGCGAGGTCGGCAGCGGC;uc002jxs.3:c.-32_-69delACAGCGAGGTCGGCAGCGGCAGCGAGGTCGGCAGCGGC</t>
  </si>
  <si>
    <t xml:space="preserve">0.998989654876332</t>
  </si>
  <si>
    <t xml:space="preserve">eukaryotic translation initiation factor 4A3</t>
  </si>
  <si>
    <t xml:space="preserve">FUNCTION: ATP-dependent RNA helicase. Core component of the splicing-dependent multiprotein exon junction complex (EJC) deposited at splice junctions on mRNAs. The EJC is a dynamic structure consisting of core proteins and several peripheral nuclear and cytoplasmic associated factors that join the complex only transiently either during EJC assembly or during subsequent mRNA metabolism. The EJC marks the position of the exon-exon junction in the mature mRNA for the gene expression machinery and the core components remain bound to spliced mRNAs throughout all stages of mRNA metabolism thereby influencing downstream processes including nuclear mRNA export, subcellular mRNA localization, translation efficiency and nonsense-mediated mRNA decay (NMD). Its RNA-dependent ATPase and RNA-helicase activities are induced by CASC3, but abolished in presence of the MAGOH-RBM8A heterodimer, thereby trapping the ATP-bound EJC core onto spliced mRNA in a stable conformation. The inhibition of ATPase activity by the MAGOH-RBM8A heterodimer increases the RNA-binding affinity of the EJC. Involved in translational enhancement of spliced mRNAs after formation of the 80S ribosome complex. Binds spliced mRNA in sequence-independent manner, 20-24 nucleotides upstream of mRNA exon-exon junctions. Shows higher affinity for single-stranded RNA in an ATP-bound core EJC complex than after the ATP is hydrolyzed. Involved in the splicing modulation of BCL2L1/Bcl-X (and probably other apoptotic genes); specifically inhibits formation of proapoptotic isoforms such as Bcl-X(S); the function is different from the established EJC assembly. Involved in craniofacial development. {ECO:0000269|PubMed:15034551, ECO:0000269|PubMed:16170325, ECO:0000269|PubMed:16209946, ECO:0000269|PubMed:17375189, ECO:0000269|PubMed:19409878, ECO:0000269|PubMed:22203037, ECO:0000269|PubMed:24360810}.; </t>
  </si>
  <si>
    <t xml:space="preserve">3.1506860909144e-06</t>
  </si>
  <si>
    <t xml:space="preserve">leucine rich repeat containing 45</t>
  </si>
  <si>
    <t xml:space="preserve">FUNCTION: Component of the proteinaceous fiber-like linker between two centrioles, required for centrosome cohesion. {ECO:0000269|PubMed:24035387}.; </t>
  </si>
  <si>
    <t xml:space="preserve">9,13</t>
  </si>
  <si>
    <t xml:space="preserve">0.99999895681268</t>
  </si>
  <si>
    <t xml:space="preserve">DCC netrin 1 receptor</t>
  </si>
  <si>
    <t xml:space="preserve">FUNCTION: Receptor for netrin required for axon guidance. Mediates axon attraction of neuronal growth cones in the developing nervous system upon ligand binding. Its association with UNC5 proteins may trigger signaling for axon repulsion. It also acts as a dependence receptor required for apoptosis induction when not associated with netrin ligand. Implicated as a tumor suppressor gene. {ECO:0000269|PubMed:8187090, ECO:0000269|PubMed:8861902}.; </t>
  </si>
  <si>
    <t xml:space="preserve">DISEASE: Mirror movements 1 (MRMV1) [MIM:157600]: A disorder characterized by contralateral involuntary movements that mirror voluntary ones. While mirror movements are occasionally found in young children, persistence beyond the age of 10 is abnormal. Mirror movements occur more commonly in the upper extremities. {ECO:0000269|PubMed:20431009}. Note=The disease is caused by mutations affecting the gene represented in this entry.; </t>
  </si>
  <si>
    <t xml:space="preserve">154.64</t>
  </si>
  <si>
    <t xml:space="preserve">3.6650370597666e-07</t>
  </si>
  <si>
    <t xml:space="preserve">ATPase phospholipid transporting 8B1</t>
  </si>
  <si>
    <t xml:space="preserve">FUNCTION: Catalytic component of a P4-ATPase flippase complex which catalyzes the hydrolysis of ATP coupled to the transport of aminophospholipids from the outer to the inner leaflet of various membranes and ensures the maintenance of asymmetric distribution of phospholipids. Phospholipid translocation seems also to be implicated in vesicle formation and in uptake of lipid signaling molecules. May play a role in asymmetric distribution of phospholipids in the canicular membrane. May have a role in transport of bile acids into the canaliculus, uptake of bile acids from intestinal contents into intestinal mucosa or both. In cooperation with ABCB4 may be involved in establishing integrity of the canalicular membrane thus protecting hepatocytes from bile salts. Together with TMEM30A is involved in uptake of the synthetic drug alkylphospholipid perifosine. Involved in the microvillus formation in polarized epithelial cells; the function seems to be independent from its flippase activity. Required for the preservation of cochlear hair cells in the inner ear. May act as cardiolipin transporter during inflammatory injury. {ECO:0000269|PubMed:17948906, ECO:0000269|PubMed:20510206, ECO:0000269|PubMed:20512993}.; </t>
  </si>
  <si>
    <t xml:space="preserve">DISEASE: Cholestasis, benign recurrent intrahepatic, 1 (BRIC1) [MIM:243300]: A disorder characterized by intermittent episodes of cholestasis without progression to liver failure. There is initial elevation of serum bile acids, followed by cholestatic jaundice which generally spontaneously resolves after periods of weeks to months. The cholestatic attacks vary in severity and duration. Patients are asymptomatic between episodes, both clinically and biochemically. {ECO:0000269|PubMed:15239083, ECO:0000269|PubMed:9500542, ECO:0000269|PubMed:9918928}. Note=The disease is caused by mutations affecting the gene represented in this entry.; DISEASE: Cholestasis of pregnancy, intrahepatic 1 (ICP1) [MIM:147480]: A liver disorder of pregnancy. It presents during the second or, more commonly, the third trimester of pregnancy with intense pruritus which becomes more severe with advancing gestation and cholestasis. Cholestasis results from abnormal biliary transport from the liver into the small intestine. ICP1 causes fetal distress, spontaneous premature delivery and intrauterine death. ICP1 patients have spontaneous and progressive disappearance of cholestasis after delivery. {ECO:0000269|PubMed:15657619, ECO:0000269|PubMed:15888793}. Note=The disease may be caused by mutations affecting the gene represented in this entry.; </t>
  </si>
  <si>
    <t xml:space="preserve">10,3</t>
  </si>
  <si>
    <t xml:space="preserve">0.994144577983795</t>
  </si>
  <si>
    <t xml:space="preserve">MALT1 paracaspase</t>
  </si>
  <si>
    <t xml:space="preserve">FUNCTION: Enhances BCL10-induced activation of NF-kappa-B. Involved in nuclear export of BCL10. Binds to TRAF6, inducing TRAF6 oligomerization and activation of its ligase activity. Has ubiquitin ligase activity. MALT1-dependent BCL10 cleavage plays an important role in T-cell antigen receptor-induced integrin adhesion. {ECO:0000269|PubMed:11262391, ECO:0000269|PubMed:14695475, ECO:0000269|PubMed:18264101}.; </t>
  </si>
  <si>
    <t xml:space="preserve">DISEASE: Note=A chromosomal aberration involving MALT1 is recurrent in low-grade mucosa-associated lymphoid tissue (MALT lymphoma). Translocation t(11;18)(q21;q21) with BIRC2. This translocation is found in approximately 50% of cytogenetically abnormal low-grade MALT lymphoma. {ECO:0000269|PubMed:10339464, ECO:0000269|PubMed:10523859, ECO:0000269|PubMed:10702396, ECO:0000269|PubMed:11090634}.; </t>
  </si>
  <si>
    <t xml:space="preserve">764.60</t>
  </si>
  <si>
    <t xml:space="preserve">39,26</t>
  </si>
  <si>
    <t xml:space="preserve">GRIN3B:NM_138690:exon6:c.2344delC:p.P782Rfs*45;GRIN3B:uc002lqo.1:exon6:c.2344delC:p.P782Rfs*45;GRIN3B:ENST00000234389.3_3:exon6:c.2344delC:p.P782Rfs*45</t>
  </si>
  <si>
    <t xml:space="preserve">0.00111371164374087</t>
  </si>
  <si>
    <t xml:space="preserve">glutamate ionotropic receptor NMDA type subunit 3B</t>
  </si>
  <si>
    <t xml:space="preserve">FUNCTION: NMDA receptor subtype of glutamate-gated ion channels with reduced single-channel conductance, low calcium permeability and low voltage-dependent sensitivity to magnesium. Mediated by glycine.; </t>
  </si>
  <si>
    <t xml:space="preserve">985.60</t>
  </si>
  <si>
    <t xml:space="preserve">33,26</t>
  </si>
  <si>
    <t xml:space="preserve">IZUMO4:NM_001031735:exon1:c.147_148del:p.L52Afs*104,IZUMO4:NM_001039846:exon1:c.147_148del:p.L52Afs*104,IZUMO4:NM_001363588:exon1:c.147_148del:p.L52Afs*104;IZUMO4:uc002luw.1:exon1:c.147_148del:p.L52Afs*104,IZUMO4:uc002lux.1:exon1:c.147_148del:p.L52Afs*104,IZUMO4:uc010xgw.1:exon1:c.147_148del:p.L52Afs*104;IZUMO4:ENST00000395296.5_5:exon1:c.147_148del:p.L52Afs*104,IZUMO4:ENST00000395301.8_7:exon1:c.147_148del:p.L52Afs*104,IZUMO4:ENST00000395307.6_6:exon1:c.147_148del:p.L52Afs*104,IZUMO4:ENST00000620263.4_2:exon1:c.147_148del:p.L52Afs*49</t>
  </si>
  <si>
    <t xml:space="preserve">4.69904233416224e-08</t>
  </si>
  <si>
    <t xml:space="preserve">IZUMO family member 4</t>
  </si>
  <si>
    <t xml:space="preserve">767.64</t>
  </si>
  <si>
    <t xml:space="preserve">NM_002067:c.*70C&gt;T;uc002lxd.3:c.*70C&gt;T</t>
  </si>
  <si>
    <t xml:space="preserve">0.966183014336431</t>
  </si>
  <si>
    <t xml:space="preserve">G protein subunit alpha 11</t>
  </si>
  <si>
    <t xml:space="preserve">FUNCTION: Guanine nucleotide-binding proteins (G proteins) are involved as modulators or transducers in various transmembrane signaling systems. Acts as an activator of phospholipase C.; </t>
  </si>
  <si>
    <t xml:space="preserve">DISEASE: Hypocalciuric hypercalcemia, familial 2 (HHC2) [MIM:145981]: A form of hypocalciuric hypercalcemia, a disorder of mineral homeostasis that is transmitted as an autosomal dominant trait with a high degree of penetrance. It is characterized biochemically by lifelong elevation of serum calcium concentrations and is associated with inappropriately low urinary calcium excretion and a normal or mildly elevated circulating parathyroid hormone level. Hypermagnesemia is typically present. Affected individuals are usually asymptomatic and the disorder is considered benign. However, chondrocalcinosis and pancreatitis occur in some adults. {ECO:0000269|PubMed:23802516}. Note=The disease is caused by mutations affecting the gene represented in this entry.; DISEASE: Hypocalcemia, autosomal dominant 2 (HYPOC2) [MIM:615361]: A form of hypocalcemia, a disorder of mineral homeostasis characterized by blood calcium levels below normal, and low or normal serum parathyroid hormone concentrations. Disease manifestations include hypocalcemia, paresthesias, carpopedal spasm, seizures, hypercalciuria with nephrocalcinosis or kidney stones, and ectopic and basal ganglia calcifications. {ECO:0000269|PubMed:23782177, ECO:0000269|PubMed:23802516}. Note=The disease is caused by mutations affecting the gene represented in this entry.; </t>
  </si>
  <si>
    <t xml:space="preserve">TG</t>
  </si>
  <si>
    <t xml:space="preserve">32.60</t>
  </si>
  <si>
    <t xml:space="preserve">0.0874733261874534</t>
  </si>
  <si>
    <t xml:space="preserve">ataxia, cerebellar, Cayman type;microRNA 1268a</t>
  </si>
  <si>
    <t xml:space="preserve">FUNCTION: Functions in the development of neural tissues, particularly the postnatal maturation of the cerebellar cortex. May play a role in neurotransmission through regulation of glutaminase/GLS, an enzyme responsible for the production in neurons of the glutamate neurotransmitter. Alternatively, may regulate the localization of mitochondria within axons and dendrites. {ECO:0000269|PubMed:16899818}.; </t>
  </si>
  <si>
    <t xml:space="preserve">DISEASE: Cerebellar ataxia, cayman type (ATCAY) [MIM:601238]: Found in a population isolate on Grand Cayman Island and causes a marked psychomotor retardation and prominent nonprogressive cerebellar dysfunction including nystagmus, intention tremor, dysarthria, and wide-based ataxic gait. Hypotonia is present from early childhood. {ECO:0000269|PubMed:14556008}. Note=The disease is caused by mutations affecting the gene represented in this entry.; </t>
  </si>
  <si>
    <t xml:space="preserve">910.64</t>
  </si>
  <si>
    <t xml:space="preserve">49,32</t>
  </si>
  <si>
    <t xml:space="preserve">uc002lyy.4:c.*3419G&gt;A;uc010xhz.2:c.*3419G&gt;A;uc010dts.3:c.*3465G&gt;A;ENST00000450849.7_4:c.*3419G&gt;A</t>
  </si>
  <si>
    <t xml:space="preserve">44,25</t>
  </si>
  <si>
    <t xml:space="preserve">1.87439154445724e-06</t>
  </si>
  <si>
    <t xml:space="preserve">ankyrin repeat domain 24</t>
  </si>
  <si>
    <t xml:space="preserve">12,14</t>
  </si>
  <si>
    <t xml:space="preserve">0.999999997611829</t>
  </si>
  <si>
    <t xml:space="preserve">SWI/SNF related, matrix associated, actin dependent regulator of chromatin, subfamily a, member 4</t>
  </si>
  <si>
    <t xml:space="preserve">FUNCTION: Transcriptional coactivator cooperating with nuclear hormone receptors to potentiate transcriptional activation. Component of the CREST-BRG1 complex, a multiprotein complex that regulates promoter activation by orchestrating a calcium-dependent release of a repressor complex and a recruitment of an activator complex. In resting neurons, transcription of the c-FOS promoter is inhibited by BRG1-dependent recruitment of a phospho-RB1-HDAC repressor complex. Upon calcium influx, RB1 is dephosphorylated by calcineurin, which leads to release of the repressor complex. At the same time, there is increased recruitment of CREBBP to the promoter by a CREST-dependent mechanism, which leads to transcriptional activation. The CREST-BRG1 complex also binds to the NR2B promoter, and activity-dependent induction of NR2B expression involves a release of HDAC1 and recruitment of CREBBP.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 specific complexes (nBAF). The npBAF complex is essential for the self-renewal/proliferative capacity of the multipotent neural stem cells. The nBAF complex along with CREST plays a role regulating the activity of genes essential for dendrite growth. SMARCA4/BAF190A may promote neural stem cell self- renewal/proliferation by enhancing Notch-dependent proliferative signals, while concurrently making the neural stem cell insensitive to SHH-dependent differentiating cues (By similarity). Acts as a corepressor of ZEB1 to regulate E-cadherin transcription and is required for induction of epithelial-mesenchymal transition (EMT) by ZEB1. {ECO:0000250, ECO:0000269|PubMed:19571879, ECO:0000269|PubMed:20418909}.; </t>
  </si>
  <si>
    <t xml:space="preserve">DISEASE: Mental retardation, autosomal dominant 16 (MRD16) [MIM:614609]: A disease characterized by multiple congenital anomalies and mental retardation. Mental retardation is defined by significantly below average general intellectual functioning associated with impairments in adaptive behavior and manifested during the developmental period. MRD16 patients manifest developmental delay, absent or hypoplastic fifth fingernails or toenails, thick eyebrows and long eyelashes, hirsutism. Additional findings include hypotonia, microcephaly, seizures, a Dandy-Walker malformation, and vision and hearing problems. {ECO:0000269|PubMed:22426308}. Note=The disease is caused by mutations affecting the gene represented in this entry.; </t>
  </si>
  <si>
    <t xml:space="preserve">123.64</t>
  </si>
  <si>
    <t xml:space="preserve">0.939626884464957</t>
  </si>
  <si>
    <t xml:space="preserve">phosphoinositide-3-kinase regulatory subunit 2</t>
  </si>
  <si>
    <t xml:space="preserve">FUNCTION: Regulatory subunit of phosphoinositide-3-kinase (PI3K), a kinase that phosphorylates PtdIns(4,5)P2 (Phosphatidylinositol 4,5-bisphosphate) to generate phosphatidylinositol 3,4,5- trisphosphate (PIP3). PIP3 plays a key role by recruiting PH domain-containing proteins to the membrane, including AKT1 and PDPK1, activating signaling cascades involved in cell growth, survival, proliferation, motility and morphology. Binds to activated (phosphorylated) protein-tyrosine kinases, through its SH2 domain, and acts as an adapter, mediating the association of the p110 catalytic unit to the plasma membrane. Indirectly regulates autophagy (PubMed:23604317). Promotes nuclear translocation of XBP1 isoform 2 in a ER stress- and/or insulin- dependent manner during metabolic overloading in the liver and hence plays a role in glucose tolerance improvement (By similarity). {ECO:0000250|UniProtKB:O08908, ECO:0000269|PubMed:23604317}.; </t>
  </si>
  <si>
    <t xml:space="preserve">DISEASE: Megalencephaly-polymicrogyria-polydactyly-hydrocephalus syndrome 1 (MPPH1) [MIM:603387]: A syndrome characterized by megalencephaly, hydrocephalus, and polymicrogyria; polydactyly may also be seen. There is considerable phenotypic similarity between this disorder and the megalencephaly-capillary malformation syndrome. {ECO:0000269|PubMed:22729224}. Note=The disease is caused by mutations affecting the gene represented in this entry.; </t>
  </si>
  <si>
    <t xml:space="preserve">714.64</t>
  </si>
  <si>
    <t xml:space="preserve">0.000826136639407559</t>
  </si>
  <si>
    <t xml:space="preserve">HAUS augmin like complex subunit 5</t>
  </si>
  <si>
    <t xml:space="preserve">FUNCTION: Contributes to mitotic spindle assembly, maintenance of centrosome integrity and completion of cytokinesis as part of the HAUS augmin-like complex. {ECO:0000269|PubMed:19369198, ECO:0000269|PubMed:19427217}.; </t>
  </si>
  <si>
    <t xml:space="preserve">46,26</t>
  </si>
  <si>
    <t xml:space="preserve">1.44713822685404e-07</t>
  </si>
  <si>
    <t xml:space="preserve">X-ray repair complementing defective repair in Chinese hamster cells 1</t>
  </si>
  <si>
    <t xml:space="preserve">FUNCTION: Corrects defective DNA strand-break repair and sister chromatid exchange following treatment with ionizing radiation and alkylating agents.; </t>
  </si>
  <si>
    <t xml:space="preserve">475.64</t>
  </si>
  <si>
    <t xml:space="preserve">36,17</t>
  </si>
  <si>
    <t xml:space="preserve">0.919495985397116</t>
  </si>
  <si>
    <t xml:space="preserve">adaptor related protein complex 2 sigma 1 subunit</t>
  </si>
  <si>
    <t xml:space="preserve">FUNCTION: Component of the adaptor protein complex 2 (AP-2). Adaptor protein complexes function in protein Transport via Transport vesicles in different membrane traffic pathways. Adaptor protein complexes are vesicle coat components and appear to be involved in cargo selection and vesicle formation. AP-2 is involved in clathrin-dependent endocytosis in which cargo proteins are incorporated into vesicles surrounded by clathrin (clathrin- coated vesicles, CCVs) which are destined for fusion with the early endosome. The clathrin lattice serves as a mechanical scaffold but is itself unable to bind directly to membrane components. Clathrin-associated adaptor protein (AP) complexes which can bind directly to both the clathrin lattice and to the lipid and protein components of membranes are considered to be the major clathrin adaptors contributing the CCV formation. AP-2 also serves as a cargo receptor to selectively sort the membrane proteins involved in receptor-mediated endocytosis. AP-2 seems to play a role in the recycling of synaptic vesicle membranes from the presynaptic surface. AP-2 recognizes Y-X-X-[FILMV] (Y-X-X-Phi) and [ED]-X-X-X-L-[LI] endocytosis signal motifs within the cytosolic tails of transmembrane cargo molecules. AP-2 may also play a role in maintaining normal post-endocytic trafficking through the ARF6-regulated, non-clathrin pathway. The AP-2 alpha and AP-2 sigma subunits are thought to contribute to the recognition of the [ED]-X-X-X-L-[LI] motif (By similarity). May also play a role in extracellular calcium homeostasis. {ECO:0000250, ECO:0000269|PubMed:14745134, ECO:0000269|PubMed:15473838, ECO:0000269|PubMed:19033387, ECO:0000269|PubMed:23222959}.; </t>
  </si>
  <si>
    <t xml:space="preserve">DISEASE: Hypocalciuric hypercalcemia, familial 3 (HHC3) [MIM:600740]: A form of hypocalciuric hypercalcemia, a disorder of mineral homeostasis that is transmitted as an autosomal dominant trait with a high degree of penetrance. It is characterized biochemically by lifelong elevation of serum calcium concentrations and is associated with inappropriately low urinary calcium excretion and a normal or mildly elevated circulating parathyroid hormone level. Hypermagnesemia is typically present. Affected individuals are usually asymptomatic and the disorder is considered benign. However, chondrocalcinosis and pancreatitis occur in some adults. {ECO:0000269|PubMed:23222959, ECO:0000269|PubMed:24081735}. Note=The disease is caused by mutations affecting the gene represented in this entry.; </t>
  </si>
  <si>
    <t xml:space="preserve">197.60</t>
  </si>
  <si>
    <t xml:space="preserve">201</t>
  </si>
  <si>
    <t xml:space="preserve">183,18</t>
  </si>
  <si>
    <t xml:space="preserve">LOC112267881:NM_001368251:exon4:c.527_528del:p.K176Sfs*8,KIR2DL1:NM_014218:exon4:c.527_528del:p.K176Sfs*8;KIR2DL3:uc002qha.2:exon2:c.257_258del:p.K86Sfs*8,KIR2DL1:uc002qhb.1:exon4:c.527_528del:p.K176Sfs*8,KIR2DL1:uc010erz.1:exon4:c.527_528del:p.K176Sfs*8;KIR2DL1:ENST00000291633.7_3:exon4:c.527_528del:p.K176Sfs*8,KIR2DL1:ENST00000336077.11_6:exon4:c.527_528del:p.K176Sfs*8</t>
  </si>
  <si>
    <t xml:space="preserve">2;2;2</t>
  </si>
  <si>
    <t xml:space="preserve">0.0380264991528057;0.184502116558515</t>
  </si>
  <si>
    <t xml:space="preserve">killer cell immunoglobulin like receptor, two Ig domains and long cytoplasmic tail 1;killer cell immunoglobulin like receptor, two Ig domains and long cytoplasmic tail 3</t>
  </si>
  <si>
    <t xml:space="preserve">FUNCTION: Receptor on natural killer (NK) cells for HLA-C alleles (HLA-Cw1, HLA-Cw3 and HLA-Cw7). Inhibits the activity of NK cells thus preventing cell lysis.; ;FUNCTION: Receptor on natural killer (NK) cells for HLA-C alleles. Inhibits the activity of NK cells thus preventing cell lysis. {ECO:0000269|PubMed:18604210}.; </t>
  </si>
  <si>
    <t xml:space="preserve">CA</t>
  </si>
  <si>
    <t xml:space="preserve">221.60</t>
  </si>
  <si>
    <t xml:space="preserve">193</t>
  </si>
  <si>
    <t xml:space="preserve">175,18</t>
  </si>
  <si>
    <t xml:space="preserve">LOC112267881:NM_001368251:exon4:c.529_530insCA:p.V177Afs*72,KIR2DL1:NM_014218:exon4:c.529_530insCA:p.V177Afs*72;KIR2DL3:uc002qha.2:exon2:c.259_260insCA:p.V87Afs*46,KIR2DL1:uc002qhb.1:exon4:c.529_530insCA:p.V177Afs*72,KIR2DL1:uc010erz.1:exon4:c.529_530insCA:p.V177Afs*75;KIR2DL1:ENST00000291633.7_3:exon4:c.529_530insCA:p.V177Afs*75,KIR2DL1:ENST00000336077.11_6:exon4:c.529_530insCA:p.V177Afs*72</t>
  </si>
  <si>
    <t xml:space="preserve">842.60</t>
  </si>
  <si>
    <t xml:space="preserve">22,40</t>
  </si>
  <si>
    <t xml:space="preserve">KIR2DL4:NM_001080772:exon6:c.802dupA:p.M271Nfs*108;LOC100287534:uc002qhi.4:exon5:c.868dupA:p.M293Nfs*108,KIR2DL4:uc010yfl.2:exon6:c.796dupA:p.V269Sfs*43,LOC100287534:uc021vbn.2:exon7:c.802dupA:p.M271Nfs*108;KIR2DL4:ENST00000359085.8_3:exon6:c.802dupA:p.M271Nfs*108</t>
  </si>
  <si>
    <t xml:space="preserve">1;1;1</t>
  </si>
  <si>
    <t xml:space="preserve">0.875263421473205</t>
  </si>
  <si>
    <t xml:space="preserve">killer cell immunoglobulin like receptor, two Ig domains and long cytoplasmic tail 4</t>
  </si>
  <si>
    <t xml:space="preserve">FUNCTION: Receptor on natural killer (NK) cells for HLA-C alleles. Inhibits the activity of NK cells thus preventing cell lysis.; </t>
  </si>
  <si>
    <t xml:space="preserve">TAGCGTAAGTCTCCGTTTATTGAGACCACTGATTGGGTTTCAGAGAAGACTATAGCCTAAGTCTCCGTTTATTGAGACCACTGATTAGGTTTCAGAGAAAACTATAGCATAAGTCTCCGTTTATTGAGACCACTGATTGGGTTTCAGAGAAGACTA</t>
  </si>
  <si>
    <t xml:space="preserve">135.60</t>
  </si>
  <si>
    <t xml:space="preserve">16,40</t>
  </si>
  <si>
    <t xml:space="preserve">NLRP4:NM_134444:exon5:c.2183_2186del:p.L728Rfs*3;NLRP4:uc002qmf.3:exon3:c.1958_1961del:p.L653Rfs*3,NLRP4:uc010etf.3:exon3:c.1676_1679del:p.L559Rfs*28,NLRP4:uc002qmd.4:exon5:c.2183_2186del:p.L728Rfs*3;NLRP4:ENST00000587891.5_1:exon3:c.1958_1961del:p.L653Rfs*3,NLRP4:ENST00000301295.11_3:exon5:c.2183_2186del:p.L728Rfs*3</t>
  </si>
  <si>
    <t xml:space="preserve">5.15963125034554e-05</t>
  </si>
  <si>
    <t xml:space="preserve">NLR family, pyrin domain containing 4</t>
  </si>
  <si>
    <t xml:space="preserve">FUNCTION: May be involved in inflammation and recognition of cytosolic pathogen-associated molecular patterns (PAMPs) not intercepted by membrane-bound receptors. Acts as a negative regulator of the type I interferon signaling pathway by serving as an adapter to promote DTX4-mediated ubiquitination of activated TBK1, and its subsequent degradation. Suppresses NF-kappaB induction by the cytokines TNFA and IL1B, suggesting that it operates at a point of convergence in these two cytokine signaling pathways. {ECO:0000269|PubMed:12093792, ECO:0000269|PubMed:22388039}.; </t>
  </si>
  <si>
    <t xml:space="preserve">403.64</t>
  </si>
  <si>
    <t xml:space="preserve">dist=14835;dist=13423</t>
  </si>
  <si>
    <t xml:space="preserve">86.64</t>
  </si>
  <si>
    <t xml:space="preserve">UTR3;downstream;ncRNA_intronic</t>
  </si>
  <si>
    <t xml:space="preserve">NM_001206744:c.*257A&gt;G;dist=4</t>
  </si>
  <si>
    <t xml:space="preserve">1.35596875602643e-07</t>
  </si>
  <si>
    <t xml:space="preserve">thyroid peroxidase</t>
  </si>
  <si>
    <t xml:space="preserve">FUNCTION: Iodination and coupling of the hormonogenic tyrosines in thyroglobulin to yield the thyroid hormones T(3) and T(4).; </t>
  </si>
  <si>
    <t xml:space="preserve">DISEASE: Note=An alternative splicing in the thyroperoxidase mRNA can cause Graves' disease.; DISEASE: Thyroid dyshormonogenesis 2A (TDH2A) [MIM:274500]: A disorder due to defective conversion of accumulated iodide to organically bound iodine. The iodide organification defect can be partial or complete. {ECO:0000269|PubMed:10084596, ECO:0000269|PubMed:10468986, ECO:0000269|PubMed:11061528, ECO:0000269|PubMed:11415848, ECO:0000269|PubMed:11874711, ECO:0000269|PubMed:11916616, ECO:0000269|PubMed:12213873, ECO:0000269|PubMed:12490071, ECO:0000269|PubMed:12843174, ECO:0000269|PubMed:12864797, ECO:0000269|PubMed:12938097, ECO:0000269|PubMed:16284446, ECO:0000269|PubMed:16684826, ECO:0000269|PubMed:7550241, ECO:0000269|PubMed:9024270, ECO:0000269|PubMed:9924196}. Note=The disease is caused by mutations affecting the gene represented in this entry.; </t>
  </si>
  <si>
    <t xml:space="preserve">BIRC6:NM_001378125:exon67:c.13364delA:p.N4456Mfs*6,BIRC6:NM_016252:exon67:c.13367delA:p.N4457Mfs*6;BIRC6:uc010ezu.3:exon67:c.13367delA:p.N4457Mfs*6;BIRC6:ENST00000700518.1_1:exon66:c.13316delA:p.N4440Mfs*6,BIRC6:ENST00000421745.7_3:exon67:c.13367delA:p.N4457Mfs*6,BIRC6:ENST00000700519.1_1:exon67:c.13307delA:p.N4437Mfs*6</t>
  </si>
  <si>
    <t xml:space="preserve">10,6</t>
  </si>
  <si>
    <t xml:space="preserve">1.00255104624413e-15</t>
  </si>
  <si>
    <t xml:space="preserve">dysferlin</t>
  </si>
  <si>
    <t xml:space="preserve">FUNCTION: Key calcium ion sensor involved in the Ca(2+)-triggered synaptic vesicle-plasma membrane fusion. Plays a role in the sarcolemma repair mechanism of both skeletal muscle and cardiomyocytes that permits rapid resealing of membranes disrupted by mechanical stress (By similarity). {ECO:0000250}.; </t>
  </si>
  <si>
    <t xml:space="preserve">DISEASE: Limb-girdle muscular dystrophy 2B (LGMD2B) [MIM:253601]: An autosomal recessive degenerative myopathy characterized by weakness and atrophy starting in the proximal pelvifemoral muscles, with onset in the late teens or later, massive elevation of serum creatine kinase levels and slow progression. Scapular muscle involvement is minor and not present at onset. Upper limb girdle involvement follows some years after the onset in lower limbs. {ECO:0000269|PubMed:10196377, ECO:0000269|PubMed:11134403, ECO:0000269|PubMed:14678801, ECO:0000269|PubMed:15469449, ECO:0000269|PubMed:16010686, ECO:0000269|PubMed:16100712, ECO:0000269|PubMed:16705711, ECO:0000269|PubMed:16996541, ECO:0000269|PubMed:17287450, ECO:0000269|PubMed:18306167, ECO:0000269|PubMed:18853459, ECO:0000269|PubMed:9731526}. Note=The disease is caused by mutations affecting the gene represented in this entry.; DISEASE: Miyoshi muscular dystrophy 1 (MMD1) [MIM:254130]: A late- onset muscular dystrophy involving the distal lower limb musculature. It is characterized by weakness that initially affects the gastrocnemius muscle during early adulthood. {ECO:0000269|PubMed:10196377, ECO:0000269|PubMed:11134403, ECO:0000269|PubMed:11468312, ECO:0000269|PubMed:12796534, ECO:0000269|PubMed:15116377, ECO:0000269|PubMed:15469449, ECO:0000269|PubMed:15477515, ECO:0000269|PubMed:15515206, ECO:0000269|PubMed:16010686, ECO:0000269|PubMed:16100712, ECO:0000269|PubMed:17287450, ECO:0000269|PubMed:18306167, ECO:0000269|PubMed:18853459, ECO:0000269|PubMed:9731526, ECO:0000269|Ref.26}. Note=The disease is caused by mutations affecting the gene represented in this entry.; DISEASE: Distal myopathy with anterior tibial onset (DMAT) [MIM:606768]: Onset of the disorder is between 14 and 28 years of age and the anterior tibial muscles are the first muscle group to be involved. Inheritance is autosomal recessive. {ECO:0000269|PubMed:11198284}. Note=The disease is caused by mutations affecting the gene represented in this entry.; </t>
  </si>
  <si>
    <t xml:space="preserve">SH2D6:uc002spq.3:exon1:c.66delA:p.H24Tfs*13</t>
  </si>
  <si>
    <t xml:space="preserve">0.00369649800986005</t>
  </si>
  <si>
    <t xml:space="preserve">SH2 domain containing 6</t>
  </si>
  <si>
    <t xml:space="preserve">199.60</t>
  </si>
  <si>
    <t xml:space="preserve">ANKRD36C:NM_001310154:exon84:c.5629dupC:p.L1877Pfs*9;dist=279;ANKRD36C:ENST00000456556.5_6:exon63:c.4531dupC:p.L1511Pfs*9,ANKRD36C:ENST00000295246.7_6:exon83:c.5554dupC:p.L1852Pfs*9</t>
  </si>
  <si>
    <t xml:space="preserve">ANKRD36C:NM_001310154:exon84:c.5627_5628insA:p.L1877Sfs*9;dist=277;ANKRD36C:ENST00000456556.5_6:exon63:c.4529_4530insA:p.L1511Sfs*9,ANKRD36C:ENST00000295246.7_6:exon83:c.5552_5553insA:p.L1852Sfs*9</t>
  </si>
  <si>
    <t xml:space="preserve">217.60</t>
  </si>
  <si>
    <t xml:space="preserve">16,7</t>
  </si>
  <si>
    <t xml:space="preserve">ANKRD36C:NM_001310154:exon84:c.5623_5624del:p.H1875Cfs*10;dist=272;ANKRD36C:ENST00000456556.5_6:exon63:c.4525_4526del:p.H1509Cfs*10,ANKRD36C:ENST00000295246.7_6:exon83:c.5548_5549del:p.H1850Cfs*10</t>
  </si>
  <si>
    <t xml:space="preserve">39.60</t>
  </si>
  <si>
    <t xml:space="preserve">0.90212384293593</t>
  </si>
  <si>
    <t xml:space="preserve">paired box 8</t>
  </si>
  <si>
    <t xml:space="preserve">FUNCTION: Transcription factor for the thyroid-specific expression of the genes exclusively expressed in the thyroid cell type, maintaining the functional differentiation of such cells.; </t>
  </si>
  <si>
    <t xml:space="preserve">DISEASE: Hypothyroidism, congenital, non-goitrous, 2 (CHNG2) [MIM:218700]: A disease characterized by thyroid dysgenesis, the most frequent cause of congenital hypothyroidism, accounting for 85% of case. The thyroid gland can be completely absent (athyreosis), ectopically located and/or severely hypoplastic. Ectopic thyroid gland is the most frequent malformation, with thyroid tissue being found most often at the base of the tongue. {ECO:0000269|PubMed:11232006, ECO:0000269|PubMed:11502839, ECO:0000269|PubMed:9590296}. Note=The disease is caused by mutations affecting the gene represented in this entry.; </t>
  </si>
  <si>
    <t xml:space="preserve">GT</t>
  </si>
  <si>
    <t xml:space="preserve">87.60</t>
  </si>
  <si>
    <t xml:space="preserve">15,4</t>
  </si>
  <si>
    <t xml:space="preserve">1;2;1</t>
  </si>
  <si>
    <t xml:space="preserve">PAX8 antisense RNA 1;paired box 8</t>
  </si>
  <si>
    <t xml:space="preserve">GTGTTTA</t>
  </si>
  <si>
    <t xml:space="preserve">37.60</t>
  </si>
  <si>
    <t xml:space="preserve">13,2</t>
  </si>
  <si>
    <t xml:space="preserve">0.999515597151875</t>
  </si>
  <si>
    <t xml:space="preserve">kinesin family member 5C</t>
  </si>
  <si>
    <t xml:space="preserve">FUNCTION: Mediates dendritic trafficking of mRNAs (By similarity). Kinesin is a microtubule-associated force-producing protein that may play a role in organelle transport. {ECO:0000250}.; </t>
  </si>
  <si>
    <t xml:space="preserve">DISEASE: Cortical dysplasia, complex, with other brain malformations 2 (CDCBM2) [MIM:615282]: A disorder of aberrant neuronal migration and disturbed axonal guidance. Clinical features include intrauterine growth retardation, fetal akinesia, seizures, microcephaly, lack of psychomotor development, and arthrogryposis. Brain imaging shows malformations of cortical development, including polymicrogyria, gyral simplification, and thin corpus callosum. {ECO:0000269|PubMed:23603762}. Note=The disease is caused by mutations affecting the gene represented in this entry.; </t>
  </si>
  <si>
    <t xml:space="preserve">36.60</t>
  </si>
  <si>
    <t xml:space="preserve">IDH1:NM_001282386:exon6:c.595delA:p.M199Wfs*11,IDH1:NM_001282387:exon6:c.595delA:p.M199Wfs*11,IDH1:NM_005896:exon6:c.595delA:p.M199Wfs*11;IDH1:uc002vcs.3:exon6:c.595delA:p.M199Wfs*11,IDH1:uc002vct.3:exon6:c.595delA:p.M199Wfs*11,IDH1:uc002vcu.3:exon6:c.595delA:p.M199Wfs*11;IDH1:ENST00000345146.7_4:exon6:c.595delA:p.M199Wfs*11,IDH1:ENST00000415913.5_3:exon6:c.595delA:p.M199Wfs*11,IDH1:ENST00000446179.5_3:exon6:c.595delA:p.M199Wfs*11</t>
  </si>
  <si>
    <t xml:space="preserve">0.00145370762541468</t>
  </si>
  <si>
    <t xml:space="preserve">isocitrate dehydrogenase 1 (NADP+)</t>
  </si>
  <si>
    <t xml:space="preserve">DISEASE: Glioma (GLM) [MIM:137800]: Gliomas are benign or malignant central nervous system neoplasms derived from glial cells. They comprise astrocytomas and glioblastoma multiforme that are derived from astrocytes, oligodendrogliomas derived from oligodendrocytes and ependymomas derived from ependymocytes. {ECO:0000269|PubMed:19117336, ECO:0000269|PubMed:19935646}. Note=The gene represented in this entry is involved in disease pathogenesis. Mutations affecting Arg-132 are tissue-specific, and suggest that this residue plays a unique role in the development of high-grade gliomas. Mutations of Arg-132 to Cys, His, Leu or Ser abolish magnesium binding and abolish the conversion of isocitrate to alpha-ketoglutarate. Instead, alpha-ketoglutarate is converted to R(-)-2-hydroxyglutarate. Elevated levels of R(-)-2- hydroxyglutarate are correlated with an elevated risk of malignant brain tumors. {ECO:0000269|PubMed:19935646}.; </t>
  </si>
  <si>
    <t xml:space="preserve">31,15</t>
  </si>
  <si>
    <t xml:space="preserve">ncRNA_exonic;ncRNA_intronic</t>
  </si>
  <si>
    <t xml:space="preserve">disrupted in renal carcinoma 3</t>
  </si>
  <si>
    <t xml:space="preserve">SEL1L2:NM_001271539:exon9:c.789delA:p.V264*,SEL1L2:NM_001363752:exon9:c.453delA:p.V152*,SEL1L2:NM_025229:exon9:c.789delA:p.V264*;SEL1L2:uc010zrl.3:exon9:c.789delA:p.V264*,SEL1L2:uc002woq.5:exon10:c.372delA:p.V125*;SEL1L2:ENST00000284951.10_4:exon9:c.789delA:p.V264*,SEL1L2:ENST00000378072.5_3:exon9:c.789delA:p.V264*,SEL1L2:ENST00000646153.1_4:exon9:c.453delA:p.V152*</t>
  </si>
  <si>
    <t xml:space="preserve">2.6912869713909e-11</t>
  </si>
  <si>
    <t xml:space="preserve">SEL1L2 ERAD E3 ligase adaptor subunit</t>
  </si>
  <si>
    <t xml:space="preserve">1117.64</t>
  </si>
  <si>
    <t xml:space="preserve">34,39</t>
  </si>
  <si>
    <t xml:space="preserve">6.52856833944276e-11</t>
  </si>
  <si>
    <t xml:space="preserve">Sad1 and UNC84 domain containing 5</t>
  </si>
  <si>
    <t xml:space="preserve">322.64</t>
  </si>
  <si>
    <t xml:space="preserve">8,11</t>
  </si>
  <si>
    <t xml:space="preserve">5.69197086647934e-14</t>
  </si>
  <si>
    <t xml:space="preserve">lipopolysaccharide binding protein</t>
  </si>
  <si>
    <t xml:space="preserve">FUNCTION: Plays a role in the innate immune response. Binds to the lipid A moiety of bacterial lipopolysaccharides (LPS), a glycolipid present in the outer membrane of all Gram-negative bacteria (PubMed:7517398, PubMed:24120359). Acts as an affinity enhancer for CD14, facilitating its association with LPS. Promotes the release of cytokines in response to bacterial lipopolysaccharide (PubMed:7517398, PubMed:24120359). {ECO:0000269|PubMed:1698311, ECO:0000269|PubMed:20133493, ECO:0000269|PubMed:24120359, ECO:0000269|PubMed:7517398, ECO:0000305|PubMed:17481951}.; </t>
  </si>
  <si>
    <t xml:space="preserve">996.64</t>
  </si>
  <si>
    <t xml:space="preserve">31,37</t>
  </si>
  <si>
    <t xml:space="preserve">51.64</t>
  </si>
  <si>
    <t xml:space="preserve">2.78769685742866e-08</t>
  </si>
  <si>
    <t xml:space="preserve">matrix metallopeptidase 9</t>
  </si>
  <si>
    <t xml:space="preserve">FUNCTION: May play an essential role in local proteolysis of the extracellular matrix and in leukocyte migration. Could play a role in bone osteoclastic resorption. Cleaves KiSS1 at a Gly-|-Leu bond. Cleaves type IV and type V collagen into large C-terminal three quarter fragments and shorter N-terminal one quarter fragments. Degrades fibronectin but not laminin or Pz-peptide. {ECO:0000269|PubMed:1480034}.; </t>
  </si>
  <si>
    <t xml:space="preserve">DISEASE: Intervertebral disc disease (IDD) [MIM:603932]: A common musculo-skeletal disorder caused by degeneration of intervertebral disks of the lumbar spine. It results in low-back pain and unilateral leg pain. {ECO:0000269|PubMed:18455130}. Note=Disease susceptibility is associated with variations affecting the gene represented in this entry.; DISEASE: Metaphyseal anadysplasia 2 (MANDP2) [MIM:613073]: A bone development disorder characterized by skeletal anomalies that resolve spontaneously with age. Clinical characteristics are evident from the first months of life and include slight shortness of stature and a mild varus deformity of the legs. Patients attain a normal stature in adolescence and show improvement or complete resolution of varus deformity of the legs and rhizomelic micromelia. {ECO:0000269|PubMed:19615667}. Note=The disease is caused by mutations affecting the gene represented in this entry.; </t>
  </si>
  <si>
    <t xml:space="preserve">493.64</t>
  </si>
  <si>
    <t xml:space="preserve">12,15</t>
  </si>
  <si>
    <t xml:space="preserve">0.999999938266667</t>
  </si>
  <si>
    <t xml:space="preserve">ADP ribosylation factor guanine nucleotide exchange factor 2</t>
  </si>
  <si>
    <t xml:space="preserve">FUNCTION: Promotes guanine-nucleotide exchange on ARF1 and ARF3 and to a lower extend on ARF5 and ARF6. Promotes the activation of ARF1/ARF5/ARF6 through replacement of GDP with GTP. Involved in the regulation of Golgi vesicular transport. Required for the integrity of the endosomal compartment. Involved in trafficking from the trans-Golgi network (TGN) to endosomes and is required for membrane association of the AP-1 complex and GGA1. Seems to be involved in recycling of the transferrin receptor from recycling endosomes to the plasma membrane. Probably is involved in the exit of GABA(A) receptors from the endoplasmic reticulum. Involved in constitutive release of tumor necrosis factor receptor 1 via exosome-like vesicles; the function seems to involve PKA and specifically PRKAR2B. Proposed to act as A kinase-anchoring protein (AKAP) and may mediate crosstalk between Arf and PKA pathways. {ECO:0000269|PubMed:12051703, ECO:0000269|PubMed:12571360, ECO:0000269|PubMed:15385626, ECO:0000269|PubMed:16477018, ECO:0000269|PubMed:17276987, ECO:0000269|PubMed:18625701, ECO:0000269|PubMed:20360857}.; </t>
  </si>
  <si>
    <t xml:space="preserve">DISEASE: Periventricular nodular heterotopia 2 (PVNH2) [MIM:608097]: A developmental disorder characterized by the presence of periventricular nodules of cerebral gray matter, resulting from a failure of neurons to migrate normally from the lateral ventricular proliferative zone, where they are formed, to the cerebral cortex. PVNH2 is an autosomal recessive form characterized by microcephaly (small brain), severe developmental delay and recurrent infections. No anomalies extrinsic to the central nervous system, such as dysmorphic features or grossly abnormal endocrine or other conditions, are associated with PVNH2. {ECO:0000269|PubMed:14647276}. Note=The disease is caused by mutations affecting the gene represented in this entry.; </t>
  </si>
  <si>
    <t xml:space="preserve">57.60</t>
  </si>
  <si>
    <t xml:space="preserve">12,4</t>
  </si>
  <si>
    <t xml:space="preserve">SLC9A8:NM_001260491:exon7:c.537dupT:p.V183Cfs*14;SLC9A8:uc010zyj.2:exon7:c.537dupT:p.V183Cfs*14;SLC9A8:ENST00000417961.5_1:exon7:c.537dupT:p.V183Cfs*14</t>
  </si>
  <si>
    <t xml:space="preserve">2.81662458191787e-05</t>
  </si>
  <si>
    <t xml:space="preserve">solute carrier family 9 member A8</t>
  </si>
  <si>
    <t xml:space="preserve">FUNCTION: Involved in pH regulation to eliminate acids generated by active metabolism or to counter adverse environmental conditions. Major proton extruding system driven by the inward sodium ion chemical gradient. Plays an important role in signal transduction. {ECO:0000269|PubMed:15522866}.; </t>
  </si>
  <si>
    <t xml:space="preserve">179.64</t>
  </si>
  <si>
    <t xml:space="preserve">0.000356300036119442</t>
  </si>
  <si>
    <t xml:space="preserve">SPO11 meiotic protein covalently bound to DSB;microRNA 5095</t>
  </si>
  <si>
    <t xml:space="preserve">FUNCTION: Required for meiotic recombination. Mediates DNA cleavage that forms the double-strand breaks (DSB) that initiate meiotic recombination (By similarity). Essential for the phosphorylation of SMC3, HORMAD1 and HORMAD2 (By similarity). {ECO:0000250}.; </t>
  </si>
  <si>
    <t xml:space="preserve">811.64</t>
  </si>
  <si>
    <t xml:space="preserve">intergenic;splicing</t>
  </si>
  <si>
    <t xml:space="preserve">dist=253183;dist=34951;dist=253183;dist=34951;ENST00000540061.1:exon3:c.118+1G&gt;A</t>
  </si>
  <si>
    <t xml:space="preserve">1137.64</t>
  </si>
  <si>
    <t xml:space="preserve">24,29</t>
  </si>
  <si>
    <t xml:space="preserve">dist=253229;dist=34905;dist=253229;dist=34905</t>
  </si>
  <si>
    <t xml:space="preserve">70.60</t>
  </si>
  <si>
    <t xml:space="preserve">CRYAA:ENST00000398133.5_1:exon1:c.87dupC:p.H33Pfs*9</t>
  </si>
  <si>
    <t xml:space="preserve">0.521020324207416</t>
  </si>
  <si>
    <t xml:space="preserve">crystallin alpha A</t>
  </si>
  <si>
    <t xml:space="preserve">FUNCTION: Contributes to the transparency and refractive index of the lens. Has chaperone-like activity, preventing aggregation of various proteins under a wide range of stress conditions. {ECO:0000269|PubMed:22120592}.; </t>
  </si>
  <si>
    <t xml:space="preserve">DISEASE: Note=Alpha-crystallin A 1-172 is found at nearly twofold higher levels in diabetic lenses than in age-matched control lenses. {ECO:0000269|PubMed:12356833}.; DISEASE: Cataract 9, multiple types (CTRCT9) [MIM:604219]: An opacification of the crystalline lens of the eye that frequently results in visual impairment or blindness. Opacities vary in morphology, are often confined to a portion of the lens, and may be static or progressive. In general, the more posteriorly located and dense an opacity, the greater the impact on visual function. CTRCT9 includes nuclear, zonular central nuclear, anterior polar, cortical, embryonal, anterior subcapsular, fan-shaped, and total cataracts, among others. In some cases cataract is associated with microcornea without any other systemic anomaly or dysmorphism. Microcornea is defined by a corneal diameter inferior to 10 mm in both meridians in an otherwise normal eye. {ECO:0000269|PubMed:14512969, ECO:0000269|PubMed:16453125, ECO:0000269|PubMed:18302245, ECO:0000269|PubMed:18407550, ECO:0000269|PubMed:23508780, ECO:0000269|PubMed:9467006}. Note=The disease is caused by mutations affecting the gene represented in this entry.; </t>
  </si>
  <si>
    <t xml:space="preserve">75.64</t>
  </si>
  <si>
    <t xml:space="preserve">11,3</t>
  </si>
  <si>
    <t xml:space="preserve">0.993830465042737</t>
  </si>
  <si>
    <t xml:space="preserve">salt inducible kinase 1</t>
  </si>
  <si>
    <t xml:space="preserve">FUNCTION: Serine/threonine-protein kinase involved in various processes such as cell cycle regulation, gluconeogenesis and lipogenesis regulation, muscle growth and differentiation and tumor suppression. Phosphorylates HDAC4, HDAC5, PPME1, SREBF1, CRTC1/TORC1 and CRTC2/TORC2. Acts as a tumor suppressor and plays a key role in p53/TP53-dependent anoikis, a type of apoptosis triggered by cell detachment: required for phosphorylation of p53/TP53 in response to loss of adhesion and is able to suppress metastasis. Part of a sodium-sensing signaling network, probably by mediating phosphorylation of PPME1: following increases in intracellular sodium, SIK1 is activated by CaMK1 and phosphorylates PPME1 subunit of protein phosphatase 2A (PP2A), leading to dephosphorylation of sodium/potassium-transporting ATPase ATP1A1 and subsequent increase activity of ATP1A1. Acts as a regulator of muscle cells by phosphorylating and inhibiting class II histone deacetylases HDAC4 and HDAC5, leading to promote expression of MEF2 target genes in myocytes. Also required during cardiomyogenesis by regulating the exit of cardiomyoblasts from the cell cycle via down-regulation of CDKN1C/p57Kip2. Acts as a regulator of hepatic gluconeogenesis by phosphorylating and repressing the CREB-specific coactivators CRTC1/TORC1 and CRTC2/TORC2, leading to inhibit CREB activity. Also regulates hepatic lipogenesis by phosphorylating and inhibiting SREBF1. In concert with CRTC1/TORC1, regulates the light-induced entrainment of the circadian clock by attenuating PER1 induction; represses CREB-mediated transcription of PER1 by phosphorylating and deactivating CRTC1/TORC1 (By similarity). {ECO:0000250|UniProtKB:Q60670, ECO:0000269|PubMed:14976552, ECO:0000269|PubMed:16306228, ECO:0000269|PubMed:18348280, ECO:0000269|PubMed:19622832}.; </t>
  </si>
  <si>
    <t xml:space="preserve">DISEASE: Epileptic encephalopathy, early infantile, 30 (EIEE30) [MIM:616341]: A form of epileptic encephalopathy, a heterogeneous group of severe childhood onset epilepsies characterized by refractory seizures, neurodevelopmental impairment, and poor prognosis. Development is normal prior to seizure onset, after which cognitive and motor delays become apparent. {ECO:0000269|PubMed:25839329}. Note=The disease is caused by mutations affecting the gene represented in this entry.; DISEASE: Note=Defects in SIK1 may be associated with some cancers, such as breast cancers. Loss of SIK1 correlates with poor patient outcome in breast cancers (PubMed:19622832). {ECO:0000269|PubMed:19622832}.; </t>
  </si>
  <si>
    <t xml:space="preserve">62.64</t>
  </si>
  <si>
    <t xml:space="preserve">0.00322749700590359</t>
  </si>
  <si>
    <t xml:space="preserve">tubulin alpha 8</t>
  </si>
  <si>
    <t xml:space="preserve">FUNCTION: Tubulin is the major constituent of microtubules. It binds two moles of GTP, one at an exchangeable site on the beta chain and one at a non-exchangeable site on the alpha chain.; </t>
  </si>
  <si>
    <t xml:space="preserve">DISEASE: Polymicrogyria, with optic nerve hypoplasia (PMGONH) [MIM:613180]: A disease characterized by extensive polymicrogyria, optic nerve hypoplasia, severe developmental delay, hypotonia, seizures, a dysplastic or absent corpus callosum and colpocephaly. Polymicrogyria is a malformation of the cortex in which the brain surface is irregular and characterized by an excessive number of small gyri with abnormal lamination. Polymicrogyria is a heterogeneous disorder, considered to be the result of postmigratory abnormal cortical organization. {ECO:0000269|PubMed:19896110}. Note=The disease is caused by mutations affecting the gene represented in this entry.; </t>
  </si>
  <si>
    <t xml:space="preserve">7.62101542352864e-07</t>
  </si>
  <si>
    <t xml:space="preserve">DiGeorge syndrome critical region gene 6</t>
  </si>
  <si>
    <t xml:space="preserve">FUNCTION: May play a role in neural crest cell migration into the third and fourth pharyngeal pouches.; </t>
  </si>
  <si>
    <t xml:space="preserve">GGGCGCA</t>
  </si>
  <si>
    <t xml:space="preserve">263.01</t>
  </si>
  <si>
    <t xml:space="preserve">0,14,9</t>
  </si>
  <si>
    <t xml:space="preserve">3.38323005538586e-52</t>
  </si>
  <si>
    <t xml:space="preserve">leucine-zipper-like transcription regulator 1</t>
  </si>
  <si>
    <t xml:space="preserve">FUNCTION: Probable transcriptional regulator that may play a crucial role in embryogenesis.; </t>
  </si>
  <si>
    <t xml:space="preserve">DISEASE: Schwannomatosis 2 (SWNTS2) [MIM:615670]: A cancer predisposition syndrome in which patients develop multiple non- vestibular schwannomas, benign neoplasms that arise from Schwann cells of the cranial, peripheral, and autonomic nerves. {ECO:0000269|PubMed:24362817}. Note=Disease susceptibility is associated with variations affecting the gene represented in this entry.; </t>
  </si>
  <si>
    <t xml:space="preserve">TAGAGGAGGTGAGGGGCACGGGGAGCCAGGGC</t>
  </si>
  <si>
    <t xml:space="preserve">260.01</t>
  </si>
  <si>
    <t xml:space="preserve">184.60</t>
  </si>
  <si>
    <t xml:space="preserve">13,9</t>
  </si>
  <si>
    <t xml:space="preserve">0.993395147293948</t>
  </si>
  <si>
    <t xml:space="preserve">SPECC1L-ADORA2A readthrough (NMD candidate);sperm antigen with calponin homology and coiled-coil domains 1-like</t>
  </si>
  <si>
    <t xml:space="preserve">FUNCTION: Involved in cytokinesis and spindle organization. May play a role in actin cytoskeleton organization and microtubule stabilization and hence required for proper cell adhesion and migration. {ECO:0000269|PubMed:21703590}.; </t>
  </si>
  <si>
    <t xml:space="preserve">DISEASE: Facial clefting, oblique, 1 (OBLFC1) [MIM:600251]: A rare form of facial clefting. A facial cleft is any of the fissures between the embryonic prominences that normally unite to form the face. {ECO:0000269|PubMed:21703590}. Note=The disease is caused by mutations affecting the gene represented in this entry.; DISEASE: Opitz GBBB syndrome 2 (GBBB2) [MIM:145410]: A form of Opitz GBBB syndrome, a congenital midline malformation syndrome characterized by hypertelorism, genital-urinary defects such as hypospadias in males and splayed labia in females, cleft lip/palate, laryngotracheoesophageal abnormalities, imperforate anus, developmental delay and congenital heart defects. {ECO:0000269|PubMed:25412741}. Note=The disease is caused by mutations affecting the gene represented in this entry.; </t>
  </si>
  <si>
    <t xml:space="preserve">51,14</t>
  </si>
  <si>
    <t xml:space="preserve">36,10</t>
  </si>
  <si>
    <t xml:space="preserve">474.64</t>
  </si>
  <si>
    <t xml:space="preserve">5,13</t>
  </si>
  <si>
    <t xml:space="preserve">0.999999999994095</t>
  </si>
  <si>
    <t xml:space="preserve">inositol 1,4,5-trisphosphate receptor type 1</t>
  </si>
  <si>
    <t xml:space="preserve">FUNCTION: Intracellular channel that mediates calcium release from the endoplasmic reticulum following stimulation by inositol 1,4,5- trisphosphate. Involved in the regulation of epithelial secretion of electrolytes and fluid through the interaction with AHCYL1 (By similarity). Plays a role in ER stress-induced apoptosis. Cytoplasmic calcium released from the ER triggers apoptosis by the activation of CaM kinase II, eventually leading to the activation of downstream apoptosis pathways (By similarity). {ECO:0000250|UniProtKB:P11881}.; </t>
  </si>
  <si>
    <t xml:space="preserve">DISEASE: Spinocerebellar ataxia 15 (SCA15) [MIM:606658]: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SCA15 is an autosomal dominant cerebellar ataxia (ADCA). It is very slow progressing form with a wide range of onset, ranging from childhood to adult. Most patients remain ambulatory. {ECO:0000269|PubMed:17590087, ECO:0000269|PubMed:18579805}. Note=The disease is caused by mutations affecting the gene represented in this entry.; DISEASE: Spinocerebellar ataxia 29 (SCA29) [MIM:117360]: An autosomal dominant, congenital spinocerebellar ataxia characterized by early motor delay, hypotonia and mild cognitive delay. Affected individuals develop a very slowly progressive or non-progressive gait and limb ataxia associated with cerebellar atrophy on brain imaging. Additional variable features include nystagmus, dysarthria, and tremor. {ECO:0000269|PubMed:22986007}. Note=The disease is caused by mutations affecting the gene represented in this entry.; </t>
  </si>
  <si>
    <t xml:space="preserve">123.60</t>
  </si>
  <si>
    <t xml:space="preserve">2,5</t>
  </si>
  <si>
    <t xml:space="preserve">NM_001354723:c.*1647_*1648insA;NM_000551:c.*1451_*1452insA;NM_198156:c.*1451_*1452insA;uc003bvc.3:c.*1451_*1452insA;uc003bvd.3:c.*1451_*1452insA</t>
  </si>
  <si>
    <t xml:space="preserve">0.0337352004297955</t>
  </si>
  <si>
    <t xml:space="preserve">von Hippel-Lindau tumor suppressor</t>
  </si>
  <si>
    <t xml:space="preserve">FUNCTION: Involved in the ubiquitination and subsequent proteasomal degradation via the von Hippel-Lindau ubiquitination complex. Seems to act as a target recruitment subunit in the E3 ubiquitin ligase complex and recruits hydroxylated hypoxia- inducible factor (HIF) under normoxic conditions. Involved in transcriptional repression through interaction with HIF1A, HIF1AN and histone deacetylases. Ubiquitinates, in an oxygen-responsive manner, ADRB2. {ECO:0000269|PubMed:10944113, ECO:0000269|PubMed:17981124, ECO:0000269|PubMed:19584355}.; </t>
  </si>
  <si>
    <t xml:space="preserve">DISEASE: Pheochromocytoma (PCC) [MIM:171300]: A catecholamine- producing tumor of chromaffin tissue of the adrenal medulla or sympathetic paraganglia. The cardinal symptom, reflecting the increased secretion of epinephrine and norepinephrine, is hypertension, which may be persistent or intermittent. {ECO:0000269|PubMed:12000816, ECO:0000269|PubMed:14500403, ECO:0000269|PubMed:9663592}. Note=Disease susceptibility is associated with variations affecting the gene represented in this entry.; DISEASE: von Hippel-Lindau disease (VHLD) [MIM:193300]: VHLD is a dominantly inherited familial cancer syndrome predisposing to a variety of malignant and benign neoplasms, most frequently retinal, cerebellar and spinal hemangioblastoma, renal cell carcinoma (RCC), pheochromocytoma, and pancreatic tumors. VHL type 1 is without pheochromocytoma, type 2 is with pheochromocytoma. VHL type 2 is further subdivided into types 2A (pheochromocytoma, retinal angioma, and hemangioblastomas without renal cell carcinoma and pancreatic cyst) and 2B (pheochromocytoma, retinal angioma, and hemangioblastomas with renal cell carcinoma and pancreatic cyst). {ECO:0000269|PubMed:10408776, ECO:0000269|PubMed:10533030, ECO:0000269|PubMed:10627136, ECO:0000269|PubMed:10635329, ECO:0000269|PubMed:16502427, ECO:0000269|PubMed:7728151, ECO:0000269|PubMed:7987306, ECO:0000269|PubMed:8493574, ECO:0000269|PubMed:8592333, ECO:0000269|PubMed:8634692, ECO:0000269|PubMed:8730290, ECO:0000269|PubMed:8825918, ECO:0000269|PubMed:8956040, ECO:0000269|PubMed:9452032, ECO:0000269|PubMed:9452106, ECO:0000269|PubMed:9829911, ECO:0000269|PubMed:9829912, ECO:0000269|Ref.41}. Note=The disease is caused by mutations affecting the gene represented in this entry.; DISEASE: Erythrocytosis, familial, 2 (ECYT2) [MIM:263400]: An autosomal recessive disorder characterized by an increase in serum red blood cell mass, hypersensitivity of erythroid progenitors to erythropoietin, increased erythropoietin serum levels, and normal oxygen affinity. Patients with ECYT2 carry a high risk for peripheral thrombosis and cerebrovascular events. {ECO:0000269|PubMed:12393546, ECO:0000269|PubMed:12844285}. Note=The disease is caused by mutations affecting the gene represented in this entry.; DISEASE: Renal cell carcinoma (RCC) [MIM:144700]: Renal cell carcinoma is a heterogeneous group of sporadic or hereditary carcinoma derived from cells of the proximal renal tubular epithelium. It is subclassified into clear cell renal carcinoma (non-papillary carcinoma), papillary renal cell carcinoma, chromophobe renal cell carcinoma, collecting duct carcinoma with medullary carcinoma of the kidney, and unclassified renal cell carcinoma. Clear cell renal cell carcinoma is the most common subtype. {ECO:0000269|PubMed:11986208}. Note=The disease is caused by mutations affecting the gene represented in this entry.; </t>
  </si>
  <si>
    <t xml:space="preserve">383.64</t>
  </si>
  <si>
    <t xml:space="preserve">13,13</t>
  </si>
  <si>
    <t xml:space="preserve">0.469478552740923</t>
  </si>
  <si>
    <t xml:space="preserve">vestigial like family member 4</t>
  </si>
  <si>
    <t xml:space="preserve">FUNCTION: May act as a specific coactivator for the mammalian TEFs. {ECO:0000250}.; </t>
  </si>
  <si>
    <t xml:space="preserve">98.64</t>
  </si>
  <si>
    <t xml:space="preserve">1.31713341793089e-10</t>
  </si>
  <si>
    <t xml:space="preserve">xeroderma pigmentosum, complementation group C</t>
  </si>
  <si>
    <t xml:space="preserve">FUNCTION: Involved in global genome nucleotide excision repair (GG-NER) by acting as damage sensing and DNA-binding factor component of the XPC complex. Has only a low DNA repair activity by itself which is stimulated by RAD23B and RAD23A. Has a preference to bind DNA containing a short single-stranded segment but not to damaged oligonucleotides. This feature is proposed to be related to a dynamic sensor function: XPC can rapidly screen duplex DNA for non-hydrogen-bonded bases by forming a transient nucleoprotein intermediate complex which matures into a stable recognition complex through an intrinsic single-stranded DNA- binding activity.; </t>
  </si>
  <si>
    <t xml:space="preserve">DISEASE: Xeroderma pigmentosum complementation group C (XP-C) [MIM:278720]: An autosomal recessive pigmentary skin disorder characterized by solar hypersensitivity of the skin, high predisposition for developing cancers on areas exposed to sunlight and, in some cases, neurological abnormalities. The skin develops marked freckling and other pigmentation abnormalities. {ECO:0000269|PubMed:10766188, ECO:0000269|PubMed:8298653}. Note=The disease is caused by mutations affecting the gene represented in this entry.; </t>
  </si>
  <si>
    <t xml:space="preserve">0.99731109311551</t>
  </si>
  <si>
    <t xml:space="preserve">topoisomerase (DNA) II beta</t>
  </si>
  <si>
    <t xml:space="preserve">FUNCTION: Control of topological states of DNA by transient breakage and subsequent rejoining of DNA strands. Topoisomerase II makes double-strand breaks. {ECO:0000269|PubMed:10684600}.; </t>
  </si>
  <si>
    <t xml:space="preserve">1056.64</t>
  </si>
  <si>
    <t xml:space="preserve">57,41</t>
  </si>
  <si>
    <t xml:space="preserve">0.0134739491219744</t>
  </si>
  <si>
    <t xml:space="preserve">cadherin related family member 4</t>
  </si>
  <si>
    <t xml:space="preserve">FUNCTION: Cadherins are calcium-dependent cell adhesion proteins. They preferentially interact with themselves in a homophilic manner in connecting cells; cadherins may thus contribute to the sorting of heterogeneous cell types (By similarity). {ECO:0000250}.; </t>
  </si>
  <si>
    <t xml:space="preserve">0.0046088659492231</t>
  </si>
  <si>
    <t xml:space="preserve">5'-nucleotidase domain containing 2</t>
  </si>
  <si>
    <t xml:space="preserve">0.00243124047488239</t>
  </si>
  <si>
    <t xml:space="preserve">filamin B</t>
  </si>
  <si>
    <t xml:space="preserve">FUNCTION: Connects cell membrane constituents to the actin cytoskeleton. May promote orthogonal branching of actin filaments and links actin filaments to membrane glycoproteins. Anchors various transmembrane proteins to the actin cytoskeleton. Interaction with FLNA may allow neuroblast migration from the ventricular zone into the cortical plate. Various interactions and localizations of isoforms affect myotube morphology and myogenesis. Isoform 6 accelerates muscle differentiation in vitro.; </t>
  </si>
  <si>
    <t xml:space="preserve">DISEASE: Note=Interaction with FLNA may compensate for dysfunctional FLNA homodimer in the periventricular nodular heterotopia (PVNH) disorder.; DISEASE: Atelosteogenesis 1 (AO1) [MIM:108720]: A lethal chondrodysplasia characterized by distal hypoplasia of the humeri and femurs, hypoplasia of the mid-thoracic spine, occasionally complete lack of ossification of single hand bones, and the finding in cartilage of multiple degenerated chondrocytes which are encapsulated in fibrous tissue. {ECO:0000269|PubMed:14991055}. Note=The disease is caused by mutations affecting the gene represented in this entry.; DISEASE: Atelosteogenesis 3 (AO3) [MIM:108721]: A short-limb lethal skeletal dysplasia with vertebral abnormalities, disharmonious skeletal maturation, poorly modeled long bones and joint dislocations. Recurrent respiratory insufficiency and/or infections usually result in early death. {ECO:0000269|PubMed:14991055}. Note=The disease is caused by mutations affecting the gene represented in this entry.; DISEASE: Boomerang dysplasia (BOOMD) [MIM:112310]: A perinatal lethal osteochondrodysplasia characterized by absence or underossification of the limb bones and vertebrae. Patients manifest dwarfism with short, bowed, rigid limbs and characteristic facies. Boomerang dysplasia is distinguished from atelosteogenesis on the basis of a more severe defect in mineralization, with complete absence of ossification in some limb elements and vertebral segments. {ECO:0000269|PubMed:15994868}. Note=The disease is caused by mutations affecting the gene represented in this entry.; DISEASE: Larsen syndrome (LRS) [MIM:150250]: An osteochondrodysplasia characterized by large-joint dislocations and characteristic craniofacial abnormalities. The cardinal features of the condition are dislocations of the hip, knee and elbow joints, with equinovarus or equinovalgus foot deformities. Spatula-shaped fingers, most marked in the thumb, are also present. Craniofacial anomalies include hypertelorism, prominence of the forehead, a depressed nasal bridge, and a flattened midface. Cleft palate and short stature are often associated features. Spinal anomalies include scoliosis and cervical kyphosis. Hearing loss is a well-recognized complication. {ECO:0000269|PubMed:14991055, ECO:0000269|PubMed:16801345}. Note=The disease is caused by mutations affecting the gene represented in this entry.; DISEASE: Spondylocarpotarsal synostosis syndrome (SCT) [MIM:272460]: Disorder characterized by short stature and vertebral, carpal and tarsal fusions. {ECO:0000269|PubMed:14991055}. Note=The disease is caused by mutations affecting the gene represented in this entry.; </t>
  </si>
  <si>
    <t xml:space="preserve">30.60</t>
  </si>
  <si>
    <t xml:space="preserve">ASTE1:NM_014065:exon6:c.1894dupA:p.R632Kfs*11,ASTE1:NM_001288950:exon7:c.1969dupA:p.R657Kfs*11;ASTE1:uc003env.1:exon6:c.1894dupA:p.R632Kfs*11,ASTE1:uc010htm.1:exon7:c.1969dupA:p.R657Kfs*11;ASTE1:ENST00000264992.8_9:exon6:c.1894dupA:p.R632Kfs*11,ASTE1:ENST00000514044.5_7:exon7:c.1969dupA:p.R657Kfs*11</t>
  </si>
  <si>
    <t xml:space="preserve">3.39138941425054e-12</t>
  </si>
  <si>
    <t xml:space="preserve">asteroid homolog 1 (Drosophila)</t>
  </si>
  <si>
    <t xml:space="preserve">FUNCTION: Possible role in EGF receptor signaling. {ECO:0000250}.; </t>
  </si>
  <si>
    <t xml:space="preserve">584.02</t>
  </si>
  <si>
    <t xml:space="preserve">1,11,9</t>
  </si>
  <si>
    <t xml:space="preserve">UTR5;ncRNA_exonic</t>
  </si>
  <si>
    <t xml:space="preserve">NM_001242374:c.-3090delG;NM_001042383:c.-9327del-;NM_001353122:c.-9327del-;NM_001353118:c.-53del-;NM_001353113:c.-9327del-;NM_001353110:c.-9327del-;NM_001353109:c.-9327del-;NM_001042384:c.-9327del-;uc003eqi.3:c.-3090delG;uc003eqk.4:c.-3090delG;uc003eql.1:c.-9327del-;uc003eqm.3:c.-9327del-</t>
  </si>
  <si>
    <t xml:space="preserve">0.00134979464058177;8.50276907222801e-21</t>
  </si>
  <si>
    <t xml:space="preserve">anaphase promoting complex subunit 13;centrosomal protein 63kDa</t>
  </si>
  <si>
    <t xml:space="preserve">FUNCTION: Component of the anaphase promoting complex/cyclosome (APC/C), a cell cycle-regulated E3 ubiquitin ligase that controls progression through mitosis and the G1 phase of the cell cycle. The APC/C complex acts by mediating ubiquitination and subsequent degradation of target proteins: it mainly mediates the formation of 'Lys-11'-linked polyubiquitin chains and, to a lower extent, the formation of 'Lys-48'- and 'Lys-63'-linked polyubiquitin chains. {ECO:0000269|PubMed:15060174, ECO:0000269|PubMed:18485873}.; ;FUNCTION: Required for normal spindle assembly. Plays a key role in mother-centriole-dependent centriole duplication; the function seems also to involve CEP152, CDK5RAP2 and WDR62 through a stepwise assembled complex at the centrosome that recruits CDK2 required for centriole duplication. Reported to be required for centrosomal recruitment of CEP152; however, this function has been questioned (PubMed:21983783, PubMed:26297806). Also recruits CDK1 to centrosomes (PubMed:21406398). Plays a role in DNA damage response. Following DNA damage, such as double-strand breaks (DSBs), is removed from centrosomes; this leads to the inactivation of spindle assembly and delay in mitotic progression (PubMed:21406398). {ECO:0000269|PubMed:21406398, ECO:0000269|PubMed:21983783, ECO:0000269|PubMed:26297806}.; </t>
  </si>
  <si>
    <t xml:space="preserve">DISEASE: Seckel syndrome 6 (SCKL6) [MIM:614728]: A rare autosomal recessive disorder characterized by proportionate dwarfism of prenatal onset associated with low birth weight, growth retardation, severe microcephaly with a bird-headed like appearance, and mental retardation. {ECO:0000269|PubMed:21983783}. Note=The disease is caused by mutations affecting the gene represented in this entry.; </t>
  </si>
  <si>
    <t xml:space="preserve">GTGTGT</t>
  </si>
  <si>
    <t xml:space="preserve">923.02</t>
  </si>
  <si>
    <t xml:space="preserve">0,7,18</t>
  </si>
  <si>
    <t xml:space="preserve">6.07648654021509e-10</t>
  </si>
  <si>
    <t xml:space="preserve">ATP13A4 antisense RNA 1;ATPase 13A4</t>
  </si>
  <si>
    <t xml:space="preserve">DISEASE: Note=A chromosomal aberration involving ATP13A4 is found in 2 patients with specific language impairment (SLI) disorders. Paracentric inversion inv(3)(q25;q29). The inversion produces a disruption of the protein. {ECO:0000269|PubMed:15925480}.; </t>
  </si>
  <si>
    <t xml:space="preserve">TGCCCATGTGGAGTGCCCGCCTGCTCACACA</t>
  </si>
  <si>
    <t xml:space="preserve">1677.60</t>
  </si>
  <si>
    <t xml:space="preserve">49,46</t>
  </si>
  <si>
    <t xml:space="preserve">UTR3;exonic;intergenic</t>
  </si>
  <si>
    <t xml:space="preserve">dist=6513;dist=8370;CRIPAK:uc003gdf.2:exon1:c.51_52insTGCCCATGTGGAGTGCCCGCCTGCTCACACA:p.C27Hfs*391;ENST00000511216.6_6:c.*8601_*8602insTGCCCATGTGGAGTGCCCGCCTGCTCACACA</t>
  </si>
  <si>
    <t xml:space="preserve">2.43127197997244e-12</t>
  </si>
  <si>
    <t xml:space="preserve">cysteine rich PAK1 inhibitor</t>
  </si>
  <si>
    <t xml:space="preserve">FUNCTION: Negative regulator of PAK1. It has been suggested that the lost of CRIPAK in breast tumors might contribute to hormonal independence. {ECO:0000269|PubMed:16278681}.; </t>
  </si>
  <si>
    <t xml:space="preserve">CACG</t>
  </si>
  <si>
    <t xml:space="preserve">151.60</t>
  </si>
  <si>
    <t xml:space="preserve">22,6</t>
  </si>
  <si>
    <t xml:space="preserve">dist=6919;dist=7964;CRIPAK:uc003gdf.2:exon1:c.457_458insCACG:p.M153Tfs*256;ENST00000511216.6_6:c.*9007_*9008insCACG</t>
  </si>
  <si>
    <t xml:space="preserve">CT</t>
  </si>
  <si>
    <t xml:space="preserve">178.60</t>
  </si>
  <si>
    <t xml:space="preserve">64,11</t>
  </si>
  <si>
    <t xml:space="preserve">exonic;ncRNA_exonic</t>
  </si>
  <si>
    <t xml:space="preserve">C4orf50:NM_001364690:exon5:c.2366_2367del:p.E789Gfs*11,C4orf50:NM_001364689:exon6:c.2903_2904del:p.E968Gfs*11;C4orf50:ENST00000531445.3_12:exon28:c.2903_2904del:p.E968Gfs*11</t>
  </si>
  <si>
    <t xml:space="preserve">6.34225080498418e-10</t>
  </si>
  <si>
    <t xml:space="preserve">chromosome 4 open reading frame 50</t>
  </si>
  <si>
    <t xml:space="preserve">7.11571993838381e-08</t>
  </si>
  <si>
    <t xml:space="preserve">collagen type XXV alpha 1</t>
  </si>
  <si>
    <t xml:space="preserve">FUNCTION: Inhibits fibrillization of beta amyloid peptide during the elongation phase. Has also been shown to assemble amyloid fibrils into protease-resistant aggregates. Binds heparin. {ECO:0000269|PubMed:15522881, ECO:0000269|PubMed:15615705, ECO:0000269|PubMed:15853808, ECO:0000269|PubMed:16300410}.; </t>
  </si>
  <si>
    <t xml:space="preserve">DISEASE: Fibrosis of extraocular muscles, congenital, 5 (CFEOM5) [MIM:616219]: An ocular motility disorder characterized by congenital dysinnervation of various cranial nerves to ocular muscles. Clinical features are ophthalmoplegia, anchoring of the eyes in downward gaze, ptosis, and backward tilt of the head. {ECO:0000269|PubMed:25500261}. Note=The disease is caused by mutations affecting the gene represented in this entry.; </t>
  </si>
  <si>
    <t xml:space="preserve">43.60</t>
  </si>
  <si>
    <t xml:space="preserve">ZGRF1:NM_001350397:exon6:c.1409delA:p.K470Rfs*13,ZGRF1:NM_018392:exon6:c.1409delA:p.K470Rfs*13;C4orf21:uc003iau.3:exon6:c.1409delA:p.K470Rfs*13,C4orf21:uc003iaw.3:exon6:c.1409delA:p.K470Rfs*13;ZGRF1:ENST00000445203.6_3:exon5:c.1409delA:p.K470Rfs*13,ZGRF1:ENST00000309071.9_3:exon6:c.1409delA:p.K470Rfs*13,ZGRF1:ENST00000505019.6_5:exon6:c.1409delA:p.K470Rfs*13</t>
  </si>
  <si>
    <t xml:space="preserve">zinc finger GRF-type containing 1</t>
  </si>
  <si>
    <t xml:space="preserve">CC</t>
  </si>
  <si>
    <t xml:space="preserve">155.60</t>
  </si>
  <si>
    <t xml:space="preserve">PPID:NM_005038:exon5:c.571_572del:p.G191Nfs*16;PPID:uc003iqc.3:exon5:c.571_572del:p.G191Nfs*16;PPID:ENST00000307720.4_5:exon5:c.571_572del:p.G191Nfs*16</t>
  </si>
  <si>
    <t xml:space="preserve">1.70586248866827e-06</t>
  </si>
  <si>
    <t xml:space="preserve">peptidylprolyl isomerase D</t>
  </si>
  <si>
    <t xml:space="preserve">FUNCTION: PPIases accelerate the folding of proteins. It catalyzes the cis-trans isomerization of proline imidic peptide bonds in oligopeptides. Proposed to act as a co-chaperone in HSP90 complexes such as in unligated steroid receptors heterocomplexes. Different co-chaperones seem to compete for association with HSP90 thus establishing distinct HSP90-co-chaperone-receptor complexes with the potential to exert tissue-specific receptor activity control. May have a preference for estrogen receptor complexes and is not found in glucocorticoid receptor complexes. May be involved in cytoplasmic dynein-dependent movement of the receptor from the cytoplasm to the nucleus. May regulate MYB by inhibiting its DNA- binding activity. Involved in regulation of AHR signaling by promoting the formation of the AHR:ARNT dimer; the function is independent of HSP90 but requires the chaperone activity. Involved in regulation of UV radiation-induced apoptosis. Promotes cell viability in anaplastic lymphoma kinase-positive anaplastic large- cell lymphoma (ALK+ ALCL) cell lines. May be involved in hepatitis C virus (HCV) replication and release. {ECO:0000269|PubMed:11350175, ECO:0000269|PubMed:18708059, ECO:0000269|PubMed:19932913, ECO:0000269|PubMed:21711559, ECO:0000269|PubMed:22681779, ECO:0000269|PubMed:23220213, ECO:0000269|PubMed:9659917}.; </t>
  </si>
  <si>
    <t xml:space="preserve">185.60</t>
  </si>
  <si>
    <t xml:space="preserve">4,6</t>
  </si>
  <si>
    <t xml:space="preserve">FAM149A:NM_001367768:exon1:c.327_328insT:p.P110Sfs*64;dist=20305;dist=38658;FAM149A:ENST00000356371.9_7:exon1:c.327_328insT:p.P110Sfs*64,FAM149A:ENST00000389354.7_4:exon1:c.327_328insT:p.P110Sfs*64</t>
  </si>
  <si>
    <t xml:space="preserve">0.00644452968141037</t>
  </si>
  <si>
    <t xml:space="preserve">family with sequence similarity 149 member A</t>
  </si>
  <si>
    <t xml:space="preserve">ANKRD31:NM_001164443:exon10:c.1533delA:p.G512Vfs*20,ANKRD31:NM_001372053:exon10:c.1533delA:p.G512Vfs*20;ANKRD31:uc003kdo.2:exon10:c.1533delA:p.G512Vfs*20;ANKRD31:ENST00000274361.3_6:exon10:c.1533delA:p.G512Vfs*20,ANKRD31:ENST00000506364.6_7:exon10:c.1533delA:p.G512Vfs*20</t>
  </si>
  <si>
    <t xml:space="preserve">ankyrin repeat domain 31</t>
  </si>
  <si>
    <t xml:space="preserve">uc021ybg.1:c.*115_*116insA;uc021ybh.1:c.*115_*116insA;uc003kji.2:c.*115_*116insA;uc003kjj.3:c.*115_*116insA;uc003kjk.3:c.*115_*116insA;uc003kjl.3:c.*115_*116insA;uc003kjm.3:c.*115_*116insA</t>
  </si>
  <si>
    <t xml:space="preserve">0.00424617418418377</t>
  </si>
  <si>
    <t xml:space="preserve">myocyte enhancer factor 2C</t>
  </si>
  <si>
    <t xml:space="preserve">FUNCTION: Transcription activator which binds specifically to the MEF2 element present in the regulatory regions of many muscle- specific genes. Controls cardiac morphogenesis and myogenesis, and is also involved in vascular development. Plays an essential role in hippocampal-dependent learning and memory by suppressing the number of excitatory synapses and thus regulating basal and evoked synaptic transmission. Crucial for normal neuronal development, distribution, and electrical activity in the neocortex. Necessary for proper development of megakaryocytes and platelets and for bone marrow B-lymphopoiesis. Required for B-cell survival and proliferation in response to BCR stimulation, efficient IgG1 antibody responses to T-cell-dependent antigens and for normal induction of germinal center B-cells. May also be involved in neurogenesis and in the development of cortical architecture (By similarity). Isoform 3 and isoform 4, which lack the repressor domain, are more active than isoform 1 and isoform 2. {ECO:0000250, ECO:0000269|PubMed:11904443, ECO:0000269|PubMed:15340086, ECO:0000269|PubMed:15831463, ECO:0000269|PubMed:15834131, ECO:0000269|PubMed:9069290, ECO:0000269|PubMed:9384584}.; </t>
  </si>
  <si>
    <t xml:space="preserve">DISEASE: Mental retardation, autosomal dominant 20 (MRD20) [MIM:613443]: A disorder characterized by severe mental retardation, absent speech, hypotonia, poor eye contact and stereotypic movements. Dysmorphic features include high broad forehead with variable small chin, short nose with anteverted nares, large open mouth, upslanted palpebral fissures and prominent eyebrows. Some patients have seizures. {ECO:0000269|PubMed:19592390}. Note=The disease is caused by mutations affecting the gene represented in this entry.; </t>
  </si>
  <si>
    <t xml:space="preserve">12,8</t>
  </si>
  <si>
    <t xml:space="preserve">0.0896398214145992</t>
  </si>
  <si>
    <t xml:space="preserve">proprotein convertase subtilisin/kexin type 1</t>
  </si>
  <si>
    <t xml:space="preserve">FUNCTION: Involved in the processing of hormone and other protein precursors at sites comprised of pairs of basic amino acid residues. Substrates include POMC, renin, enkephalin, dynorphin, somatostatin, insulin and AGRP. {ECO:0000250|UniProtKB:P63239}.; </t>
  </si>
  <si>
    <t xml:space="preserve">DISEASE: Proprotein convertase 1 deficiency (PC1 deficiency) [MIM:600955]: Characterized by obesity, hypogonadism, hypoadrenalism, reactive hypoglycemia as well as marked small- intestinal absorptive dysfunction It is due to impaired processing of prohormones. {ECO:0000269|PubMed:14617756, ECO:0000269|PubMed:17595246, ECO:0000269|PubMed:9207799}. Note=The disease is caused by mutations affecting the gene represented in this entry.; </t>
  </si>
  <si>
    <t xml:space="preserve">DMXL1:NM_001290321:exon17:c.2775delT:p.S927Hfs*17,DMXL1:NM_001290322:exon17:c.2256delT:p.S754Hfs*17,DMXL1:NM_005509:exon17:c.2775delT:p.S927Hfs*17,DMXL1:NM_001349239:exon18:c.2775delT:p.S927Hfs*17,DMXL1:NM_001349240:exon18:c.2775delT:p.S927Hfs*17;DMXL1:uc003ksd.2:exon17:c.2775delT:p.S927Hfs*17,DMXL1:uc010jcl.1:exon17:c.2775delT:p.S927Hfs*17,DMXL1:uc021ycw.1:exon17:c.2256delT:p.S754Hfs*17;DMXL1:ENST00000311085.8_5:exon17:c.2775delT:p.S927Hfs*17,DMXL1:ENST00000539542.6_5:exon17:c.2775delT:p.S927Hfs*17</t>
  </si>
  <si>
    <t xml:space="preserve">0.999998843167901</t>
  </si>
  <si>
    <t xml:space="preserve">Dmx like 1</t>
  </si>
  <si>
    <t xml:space="preserve">57.64</t>
  </si>
  <si>
    <t xml:space="preserve">2.64170747311334e-05</t>
  </si>
  <si>
    <t xml:space="preserve">myotilin</t>
  </si>
  <si>
    <t xml:space="preserve">FUNCTION: Component of a complex of multiple actin cross-linking proteins. Involved in the control of myofibril assembly and stability at the Z lines in muscle cells. {ECO:0000269|PubMed:12499399}.; </t>
  </si>
  <si>
    <t xml:space="preserve">DISEASE: Myopathy, myofibrillar, 3 (MFM3) [MIM:609200]: A neuromuscular disorder characterized by progressive skeletal muscle weakness greater distally than proximally, tight heel cords, hyporeflexia, cardiomyopathy and peripheral neuropathy in some patients. Affected muscle exhibits disorganization and streaming of the Z-line, presence of large hyaline structures, excessive accumulation of myotilin and other ectopically expressed proteins and prominent congophilic deposits. {ECO:0000269|PubMed:15111675}. Note=The disease is caused by mutations affecting the gene represented in this entry.; DISEASE: Spheroid body myopathy (SBM) [MIM:182920]: Autosomal dominant form of myofibrillar myopathy (MFM), characterized by slowly progressing proximal muscle weakness and dysarthric nasal speech. There is no evidence of cardiomyopathy. Muscle biopsy shows spheroid bodies within the type I muscle fibers. {ECO:0000269|PubMed:16380616}. Note=The disease is caused by mutations affecting the gene represented in this entry.; </t>
  </si>
  <si>
    <t xml:space="preserve">393.64</t>
  </si>
  <si>
    <t xml:space="preserve">12,12</t>
  </si>
  <si>
    <t xml:space="preserve">0.00102736089825156</t>
  </si>
  <si>
    <t xml:space="preserve">coagulation factor XIII A chain</t>
  </si>
  <si>
    <t xml:space="preserve">FUNCTION: Factor XIII is activated by thrombin and calcium ion to a transglutaminase that catalyzes the formation of gamma-glutamyl- epsilon-lysine cross-links between fibrin chains, thus stabilizing the fibrin clot. Also cross-link alpha-2-plasmin inhibitor, or fibronectin, to the alpha chains of fibrin.; </t>
  </si>
  <si>
    <t xml:space="preserve">DISEASE: Factor XIII subunit A deficiency (FA13AD) [MIM:613225]: An autosomal recessive hematologic disorder characterized by a life-long bleeding tendency, impaired wound healing and spontaneous abortion in affected women. {ECO:0000269|PubMed:1353995, ECO:0000269|PubMed:24286209, ECO:0000269|PubMed:24329762, ECO:0000269|PubMed:24889649}. Note=The disease is caused by mutations affecting the gene represented in this entry.; </t>
  </si>
  <si>
    <t xml:space="preserve">0.00888467745572368</t>
  </si>
  <si>
    <t xml:space="preserve">glutathione peroxidase 5</t>
  </si>
  <si>
    <t xml:space="preserve">FUNCTION: Protects cells and enzymes from oxidative damage, by catalyzing the reduction of hydrogen peroxide, lipid peroxides and organic hydroperoxide, by glutathione. May constitute a glutathione peroxidase-like protective system against peroxide damage in sperm membrane lipids.; </t>
  </si>
  <si>
    <t xml:space="preserve">CTT</t>
  </si>
  <si>
    <t xml:space="preserve">887.60</t>
  </si>
  <si>
    <t xml:space="preserve">33,24</t>
  </si>
  <si>
    <t xml:space="preserve">4.21949935405234e-14</t>
  </si>
  <si>
    <t xml:space="preserve">valyl-tRNA synthetase 2, mitochondrial</t>
  </si>
  <si>
    <t xml:space="preserve">DISEASE: Combined oxidative phosphorylation deficiency 20 (COXPD20) [MIM:615917]: A disorder due to mitochondrial respiratory chain complex defects. Clinical features are variable and include muscle weakness with hypotonia, central neurological disease with progressive external ophthalmoplegia, ptosis and ataxia, delayed psychomotor development, cardiomyopathy, abnormal liver function, facial dysmorphism, microcephaly and epilepsy. {ECO:0000269|PubMed:24827421, ECO:0000269|PubMed:25058219}. Note=The disease is caused by mutations affecting the gene represented in this entry.; </t>
  </si>
  <si>
    <t xml:space="preserve">1139.97</t>
  </si>
  <si>
    <t xml:space="preserve">0,36,30</t>
  </si>
  <si>
    <t xml:space="preserve">exonic;splicing</t>
  </si>
  <si>
    <t xml:space="preserve">NM_000247:exon6:c.949-1G&gt;0</t>
  </si>
  <si>
    <t xml:space="preserve">0.000378019716342188</t>
  </si>
  <si>
    <t xml:space="preserve">MHC class I polypeptide-related sequence A</t>
  </si>
  <si>
    <t xml:space="preserve">FUNCTION: Seems to have no role in antigen presentation. Acts as a stress-induced self-antigen that is recognized by gamma delta T- cells. Ligand for the KLRK1/NKG2D receptor. Binding to KLRK1 leads to cell lysis. {ECO:0000269|PubMed:10426993, ECO:0000269|PubMed:11224526, ECO:0000269|PubMed:11491531, ECO:0000269|PubMed:11777960, ECO:0000269|PubMed:9497295}.; </t>
  </si>
  <si>
    <t xml:space="preserve">DISEASE: Note=Anti-MICA antibodies and ligand shedding are involved in the progression of monoclonal gammopathy of undetermined significance (MGUS)to multiple myeloma.; DISEASE: Psoriasis 1 (PSORS1) [MIM:177900]: A common, chronic inflammatory disease of the skin with multifactorial etiology. It is characterized by red, scaly plaques usually found on the scalp, elbows and knees. These lesions are caused by abnormal keratinocyte proliferation and infiltration of inflammatory cells into the dermis and epidermis. Note=Disease susceptibility is associated with variations affecting the gene represented in this entry.; DISEASE: Psoriatic arthritis (PSORAS) [MIM:607507]: An inflammatory, seronegative arthritis associated with psoriasis. It is a heterogeneous disorder ranging from a mild, non-destructive disease to a severe, progressive, erosive arthropathy. Five types of psoriatic arthritis have been defined: asymmetrical oligoarthritis characterized by primary involvement of the small joints of the fingers or toes; asymmetrical arthritis which involves the joints of the extremities; symmetrical polyarthritis characterized by a rheumatoid like pattern that can involve hands, wrists, ankles, and feet; arthritis mutilans, which is a rare but deforming and destructive condition; arthritis of the sacroiliac joints and spine (psoriatic spondylitis). {ECO:0000269|PubMed:10323458}. Note=Disease susceptibility is associated with variations affecting the gene represented in this entry.; </t>
  </si>
  <si>
    <t xml:space="preserve">334.64</t>
  </si>
  <si>
    <t xml:space="preserve">4.28880941939168e-07</t>
  </si>
  <si>
    <t xml:space="preserve">von Willebrand factor A domain containing 7</t>
  </si>
  <si>
    <t xml:space="preserve">180.64</t>
  </si>
  <si>
    <t xml:space="preserve">0.99999999999999</t>
  </si>
  <si>
    <t xml:space="preserve">dystonin</t>
  </si>
  <si>
    <t xml:space="preserve">FUNCTION: Cytoskeletal linker protein. Acts as an integrator of intermediate filaments, actin and microtubule cytoskeleton networks. Required for anchoring either intermediate filaments to the actin cytoskeleton in neural and muscle cells or keratin- containing intermediate filaments to hemidesmosomes in epithelial cells. The proteins may self-aggregate to form filaments or a two- dimensional mesh.; FUNCTION: Isoform 6: required for bundling actin filaments around the nucleus. {ECO:0000250, ECO:0000269|PubMed:10428034, ECO:0000269|PubMed:12482924, ECO:0000269|PubMed:19403692}.; </t>
  </si>
  <si>
    <t xml:space="preserve">DISEASE: Neuropathy, hereditary sensory and autonomic, 6 (HSAN6) [MIM:614653]: A form of hereditary sensory and autonomic neuropathy, a genetically and clinically heterogeneous group of disorders characterized by degeneration of dorsal root and autonomic ganglion cells, and by sensory and/or autonomic abnormalities. HSAN6 is a severe autosomal recessive disorder characterized by neonatal hypotonia, respiratory and feeding difficulties, lack of psychomotor development, and autonomic abnormalities including labile cardiovascular function, lack of corneal reflexes leading to corneal scarring, areflexia, and absent axonal flare response after intradermal histamine injection. {ECO:0000269|PubMed:22522446}. Note=The disease is caused by mutations affecting the gene represented in this entry.; DISEASE: Epidermolysis bullosa simplex, autosomal recessive 2 (EBSB2) [MIM:615425]: A form of epidermolysis bullosa, a dermatologic disorder characterized by localized blistering on the dorsal, lateral and plantar surfaces of the feet. EBSB2 is characterized by trauma-induced blistering mainly occurring on the feet and ankles. Ultrastructural analysis of skin biopsy shows abnormal hemidesmosomes with poorly formed inner plaques. {ECO:0000269|PubMed:20164846, ECO:0000269|PubMed:22113475}. Note=The disease is caused by mutations affecting the gene represented in this entry.; </t>
  </si>
  <si>
    <t xml:space="preserve">NM_001256021:c.-185A&gt;G;NM_001256022:c.-185A&gt;G;uc003pzj.2:c.-185A&gt;G;uc003pzk.2:c.-185A&gt;G;uc010ken.3:c.-185A&gt;G;uc021zem.2:c.-185A&gt;G;uc010keo.2:c.-185A&gt;G</t>
  </si>
  <si>
    <t xml:space="preserve">1.81677623808329e-10</t>
  </si>
  <si>
    <t xml:space="preserve">triadin</t>
  </si>
  <si>
    <t xml:space="preserve">FUNCTION: Contributes to the regulation of lumenal Ca2+ release via the sarcoplasmic reticulum calcium release channels RYR1 and RYR2, a key step in triggering skeletal and heart muscle contraction. Required for normal organization of the triad junction, where T-tubules and the sarcoplasmic reticulum terminal cisternae are in close contact (By similarity). Required for normal skeletal muscle strength. Plays a role in excitation- contraction coupling in the heart and in regulating the rate of heart beats. {ECO:0000250|UniProtKB:E9Q9K5, ECO:0000269|PubMed:22422768}.; </t>
  </si>
  <si>
    <t xml:space="preserve">DISEASE: Ventricular tachycardia, catecholaminergic polymorphic, 5, with or without muscle weakness (CPVT5) [MIM:615441]: An arrhythmogenic disorder characterized by stress-induced, bidirectional ventricular tachycardia that may degenerate into cardiac arrest and cause sudden death. Patients present with recurrent syncope, or sudden death after physical activity or emotional stress. Some patients have muscle weakness. {ECO:0000269|PubMed:22422768}. Note=The disease is caused by mutations affecting the gene represented in this entry.; </t>
  </si>
  <si>
    <t xml:space="preserve">90.64</t>
  </si>
  <si>
    <t xml:space="preserve">1.1846527263111e-24</t>
  </si>
  <si>
    <t xml:space="preserve">laminin subunit alpha 2</t>
  </si>
  <si>
    <t xml:space="preserve">DISEASE: Merosin-deficient congenital muscular dystrophy 1A (MDC1A) [MIM:607855]: Characterized by difficulty walking, hypotonia, proximal weakness, hyporeflexia, and white matter hypodensity on MRI. {ECO:0000269|PubMed:11591858, ECO:0000269|PubMed:12552556}. Note=The disease is caused by mutations affecting the gene represented in this entry.; </t>
  </si>
  <si>
    <t xml:space="preserve">426.64</t>
  </si>
  <si>
    <t xml:space="preserve">14,14</t>
  </si>
  <si>
    <t xml:space="preserve">0.0825195293160823</t>
  </si>
  <si>
    <t xml:space="preserve">methylenetetrahydrofolate dehydrogenase (NADP+ dependent) 1-like</t>
  </si>
  <si>
    <t xml:space="preserve">FUNCTION: May provide the missing metabolic reaction required to link the mitochondria and the cytoplasm in the mammalian model of one-carbon folate metabolism in embryonic an transformed cells complementing thus the enzymatic activities of MTHFD2. {ECO:0000250, ECO:0000269|PubMed:16171773}.; </t>
  </si>
  <si>
    <t xml:space="preserve">4,5</t>
  </si>
  <si>
    <t xml:space="preserve">0.578575161358935</t>
  </si>
  <si>
    <t xml:space="preserve">sorting nexin 9</t>
  </si>
  <si>
    <t xml:space="preserve">FUNCTION: Involved in endocytosis and intracellular vesicle trafficking, both during interphase and at the end of mitosis. Required for efficient progress through mitosis and cytokinesis. Required for normal formation of the cleavage furrow at the end of mitosis. Plays a role in endocytosis via clathrin-coated pits, but also clathrin-independent, actin-dependent fluid-phase endocytosis. Plays a role in macropinocytosis. Promotes internalization of TNFR. Promotes degradation of EGFR after EGF signaling. Stimulates the GTPase activity of DNM1. Promotes DNM1 oligomerization. Promotes activation of the Arp2/3 complex by WASL, and thereby plays a role in the reorganization of the F- actin cytoskeleton. Binds to membranes enriched in phosphatidylinositol 4,5-bisphosphate and promotes membrane tubulation. Has lower affinity for membranes enriched in phosphatidylinositol 3-phosphate. {ECO:0000269|PubMed:11799118, ECO:0000269|PubMed:12952949, ECO:0000269|PubMed:15703209, ECO:0000269|PubMed:17609109, ECO:0000269|PubMed:17948057, ECO:0000269|PubMed:18388313, ECO:0000269|PubMed:20427313, ECO:0000269|PubMed:21048941, ECO:0000269|PubMed:22718350}.; </t>
  </si>
  <si>
    <t xml:space="preserve">324.64</t>
  </si>
  <si>
    <t xml:space="preserve">0.674499951839515</t>
  </si>
  <si>
    <t xml:space="preserve">1-acylglycerol-3-phosphate O-acyltransferase 4</t>
  </si>
  <si>
    <t xml:space="preserve">FUNCTION: Converts lysophosphatidic acid (LPA) into phosphatidic acid by incorporating an acyl moiety at the sn-2 position of the glycerol backbone. {ECO:0000250}.; </t>
  </si>
  <si>
    <t xml:space="preserve">2,9</t>
  </si>
  <si>
    <t xml:space="preserve">0.908269982155965</t>
  </si>
  <si>
    <t xml:space="preserve">G protein subunit alpha 12</t>
  </si>
  <si>
    <t xml:space="preserve">FUNCTION: Guanine nucleotide-binding proteins (G proteins) are involved as modulators or transducers in various transmembrane signaling systems. May play a role in the control of cell migration through the TOR signaling cascade. {ECO:0000269|PubMed:22609986}.; </t>
  </si>
  <si>
    <t xml:space="preserve">AC</t>
  </si>
  <si>
    <t xml:space="preserve">369.02</t>
  </si>
  <si>
    <t xml:space="preserve">1,5,7</t>
  </si>
  <si>
    <t xml:space="preserve">0.999939282123249</t>
  </si>
  <si>
    <t xml:space="preserve">caspase recruitment domain family member 11</t>
  </si>
  <si>
    <t xml:space="preserve">FUNCTION: Involved in the costimulatory signal essential for T- cell receptor (TCR)-mediated T-cell activation. Its binding to DPP4 induces T-cell proliferation and NF-kappa-B activation in a T-cell receptor/CD3-dependent manner. Activates NF-kappa-B via BCL10 and IKK. Stimulates the phosphorylation of BCL10.; </t>
  </si>
  <si>
    <t xml:space="preserve">DISEASE: B-cell expansion with NFKB and T-cell anergy (BENTA) [MIM:616452]: An autosomal dominant condition characterized by onset in infancy of splenomegaly and polyclonal expansion of B cells, resulting in peripheral lymphocytosis. Affected individuals also show mild immune dysfunction, including some defective antibody responses and T-cell anergy. There may be a predisposition to the development of B-cell malignancy. {ECO:0000269|PubMed:23129749}. Note=The disease is caused by mutations affecting the gene represented in this entry.; DISEASE: Immunodeficiency 11 (IMD11) [MIM:615206]: An autosomal recessive primary immunodeficiency characterized by normal numbers of T and B-lymphocytes, but defective intracellular signaling. There is a block in B-cell differentiation with increased numbers of transitional B-cells and hypogammaglobulinemia, as well as decreased numbers of regulatory T-cells and defects in T-cell function. {ECO:0000269|PubMed:23374270}. Note=The disease is caused by mutations affecting the gene represented in this entry.; </t>
  </si>
  <si>
    <t xml:space="preserve">0.993000631915938</t>
  </si>
  <si>
    <t xml:space="preserve">engulfment and cell motility 1</t>
  </si>
  <si>
    <t xml:space="preserve">FUNCTION: Involved in cytoskeletal rearrangements required for phagocytosis of apoptotic cells and cell motility. Acts in assocation with DOCK1 and CRK. Was initially proposed to be required in complex with DOCK1 to activate Rac Rho small GTPases. May enhance the guanine nucleotide exchange factor (GEF) activity of DOCK1. {ECO:0000269|PubMed:11595183, ECO:0000269|PubMed:12134158}.; </t>
  </si>
  <si>
    <t xml:space="preserve">920.60</t>
  </si>
  <si>
    <t xml:space="preserve">35,30</t>
  </si>
  <si>
    <t xml:space="preserve">COBL:NM_001346444:exon8:c.1320delT:p.R441Dfs*27;COBL:ENST00000395540.6_7:exon8:c.1320delT:p.R441Dfs*27</t>
  </si>
  <si>
    <t xml:space="preserve">0.982698636920497</t>
  </si>
  <si>
    <t xml:space="preserve">cordon-bleu WH2 repeat protein</t>
  </si>
  <si>
    <t xml:space="preserve">FUNCTION: Plays an important role in the reorganization of the actin cytoskeleton. Regulates neuron morphogenesis and increases branching of axons and dendrites. Regulates dendrite branching in Purkinje cells (By similarity). Binds to and sequesters actin monomers (G actin). Nucleates actin polymerization by assembling three actin monomers in cross-filament orientation and thereby promotes growth of actin filaments at the barbed end. Can also mediate actin depolymerization at barbed ends and severing of actin filaments. Promotes formation of cell ruffles. {ECO:0000250, ECO:0000269|PubMed:21816349}.; </t>
  </si>
  <si>
    <t xml:space="preserve">1.7428258238813e-08</t>
  </si>
  <si>
    <t xml:space="preserve">carboxypeptidase A2</t>
  </si>
  <si>
    <t xml:space="preserve">201.60</t>
  </si>
  <si>
    <t xml:space="preserve">84,11</t>
  </si>
  <si>
    <t xml:space="preserve">dist=60323;dist=124951;TCRBV20S1:uc011krs.1:exon2:c.211_212insAC:p.K71Nfs*27;TRBV7-1:ENST00000547918.2_4:exon2:c.211_212insAC:p.K71Nfs*27</t>
  </si>
  <si>
    <t xml:space="preserve">GA</t>
  </si>
  <si>
    <t xml:space="preserve">192.60</t>
  </si>
  <si>
    <t xml:space="preserve">87,11</t>
  </si>
  <si>
    <t xml:space="preserve">dist=60326;dist=124947;TCRBV20S1:uc011krs.1:exon2:c.214_215del:p.D72Cfs*10;TRBV7-1:ENST00000547918.2_4:exon2:c.214_215del:p.D72Cfs*10</t>
  </si>
  <si>
    <t xml:space="preserve">306.64</t>
  </si>
  <si>
    <t xml:space="preserve">215</t>
  </si>
  <si>
    <t xml:space="preserve">183,32</t>
  </si>
  <si>
    <t xml:space="preserve">dist=159711;dist=25563</t>
  </si>
  <si>
    <t xml:space="preserve">106.64</t>
  </si>
  <si>
    <t xml:space="preserve">16,4</t>
  </si>
  <si>
    <t xml:space="preserve">6;6</t>
  </si>
  <si>
    <t xml:space="preserve">0.00122029540045484</t>
  </si>
  <si>
    <t xml:space="preserve">protease, serine 1</t>
  </si>
  <si>
    <t xml:space="preserve">FUNCTION: Has activity against the synthetic substrates Boc-Phe- Ser-Arg-Mec, Boc-Leu-Thr-Arg-Mec, Boc-Gln-Ala-Arg-Mec and Boc-Val- Pro-Arg-Mec. The single-chain form is more active than the two- chain form against all of these substrates. {ECO:0000269|PubMed:7945238}.; </t>
  </si>
  <si>
    <t xml:space="preserve">DISEASE: Pancreatitis, hereditary (PCTT) [MIM:167800]: A disease characterized by pancreas inflammation, permanent destruction of the pancreatic parenchyma, maldigestion, and severe abdominal pain attacks. {ECO:0000269|PubMed:10204851, ECO:0000269|PubMed:10381903, ECO:0000269|PubMed:10930381, ECO:0000269|PubMed:11073545, ECO:0000269|PubMed:11788572, ECO:0000269|PubMed:11866271, ECO:0000269|PubMed:14695529, ECO:0000269|PubMed:15776435, ECO:0000269|PubMed:8841182, ECO:0000269|PubMed:9322498, ECO:0000269|PubMed:9633818}. Note=Disease susceptibility is associated with variations affecting the gene represented in this entry.; </t>
  </si>
  <si>
    <t xml:space="preserve">1821.60</t>
  </si>
  <si>
    <t xml:space="preserve">26,46</t>
  </si>
  <si>
    <t xml:space="preserve">69.64</t>
  </si>
  <si>
    <t xml:space="preserve">20,4</t>
  </si>
  <si>
    <t xml:space="preserve">18,12</t>
  </si>
  <si>
    <t xml:space="preserve">448.64</t>
  </si>
  <si>
    <t xml:space="preserve">uc003wkw.1:c.*34A&gt;G</t>
  </si>
  <si>
    <t xml:space="preserve">0.00404741904705645</t>
  </si>
  <si>
    <t xml:space="preserve">polypeptide N-acetylgalactosaminyltransferase 11</t>
  </si>
  <si>
    <t xml:space="preserve">FUNCTION: Polypeptide N-acetylgalactosaminyltransferase that catalyzes the initiation of protein O-linked glycosylation and is involved in left/right asymmetry by mediating O-glycosylation of NOTCH1. O-glycosylation of NOTCH1 promotes activation of NOTCH1, modulating the balance between motile and immotile (sensory) cilia at the left-right organiser (LRO). Polypeptide N- acetylgalactosaminyltransferases catalyze the transfer of an N- acetyl-D-galactosamine residue to a serine or threonine residue on the protein receptor. Displays the same enzyme activity toward MUC1, MUC4, and EA2 than GALNT1. Not involved in glycosylation of erythropoietin (EPO). {ECO:0000269|PubMed:11925450, ECO:0000269|PubMed:24226769}.; </t>
  </si>
  <si>
    <t xml:space="preserve">DISEASE: Note=Defects in GALNT11 may be a cause of heterotaxy, a congenital heart disease resulting from abnormalities in left- right (LR) body patterning. {ECO:0000269|PubMed:21282601}.; </t>
  </si>
  <si>
    <t xml:space="preserve">1298.64</t>
  </si>
  <si>
    <t xml:space="preserve">26,40</t>
  </si>
  <si>
    <t xml:space="preserve">0.146519525068475</t>
  </si>
  <si>
    <t xml:space="preserve">stathmin 4</t>
  </si>
  <si>
    <t xml:space="preserve">FUNCTION: Exhibits microtubule-destabilizing activity. {ECO:0000250}.; </t>
  </si>
  <si>
    <t xml:space="preserve">558.64</t>
  </si>
  <si>
    <t xml:space="preserve">27,18</t>
  </si>
  <si>
    <t xml:space="preserve">0.453463613311341</t>
  </si>
  <si>
    <t xml:space="preserve">clusterin</t>
  </si>
  <si>
    <t xml:space="preserve">FUNCTION: Isoform 1 functions as extracellular chaperone that prevents aggregation of nonnative proteins. Prevents stress- induced aggregation of blood plasma proteins. Inhibits formation of amyloid fibrils by APP, APOC2, B2M, CALCA, CSN3, SNCA and aggregation-prone LYZ variants (in vitro). Does not require ATP. Maintains partially unfolded proteins in a state appropriate for subsequent refolding by other chaperones, such as HSPA8/HSC70. Does not refold proteins by itself. Binding to cell surface receptors triggers internalization of the chaperone-client complex and subsequent lysosomal or proteasomal degradation. Secreted isoform 1 protects cells against apoptosis and against cytolysis by complement. Intracellular isoforms interact with ubiquitin and SCF (SKP1-CUL1-F-box protein) E3 ubiquitin-protein ligase complexes and promote the ubiquitination and subsequent proteasomal degradation of target proteins. Promotes proteasomal degradation of COMMD1 and IKBKB. Modulates NF-kappa-B transcriptional activity. Nuclear isoforms promote apoptosis. Mitochondrial isoforms suppress BAX-dependent release of cytochrome c into the cytoplasm and inhibit apoptosis. Plays a role in the regulation of cell proliferation. {ECO:0000269|PubMed:11123922, ECO:0000269|PubMed:12047389, ECO:0000269|PubMed:12176985, ECO:0000269|PubMed:12551933, ECO:0000269|PubMed:12882985, ECO:0000269|PubMed:16113678, ECO:0000269|PubMed:17260971, ECO:0000269|PubMed:17407782, ECO:0000269|PubMed:17412999, ECO:0000269|PubMed:17689225, ECO:0000269|PubMed:19137541, ECO:0000269|PubMed:19535339, ECO:0000269|PubMed:19996109, ECO:0000269|PubMed:20068069, ECO:0000269|PubMed:21505792}.; </t>
  </si>
  <si>
    <t xml:space="preserve">CCCCC</t>
  </si>
  <si>
    <t xml:space="preserve">71.60</t>
  </si>
  <si>
    <t xml:space="preserve">8,4</t>
  </si>
  <si>
    <t xml:space="preserve">CPSF1:uc003zck.1:exon8:c.734_738del:p.G245Afs*67</t>
  </si>
  <si>
    <t xml:space="preserve">0.0011044541536769</t>
  </si>
  <si>
    <t xml:space="preserve">cleavage and polyadenylation specific factor 1</t>
  </si>
  <si>
    <t xml:space="preserve">FUNCTION: Component of the cleavage and polyadenylation specificity factor (CPSF) complex that plays a key role in pre- mRNA 3'-end formation, recognizing the AAUAAA signal sequence and interacting with poly(A) polymerase and other factors to bring about cleavage and poly(A) addition. This subunit is involved in the RNA recognition step of the polyadenylation reaction. {ECO:0000269|PubMed:14749727}.; </t>
  </si>
  <si>
    <t xml:space="preserve">ACAC</t>
  </si>
  <si>
    <t xml:space="preserve">64.60</t>
  </si>
  <si>
    <t xml:space="preserve">0.000179316285483304</t>
  </si>
  <si>
    <t xml:space="preserve">methylthioadenosine phosphorylase</t>
  </si>
  <si>
    <t xml:space="preserve">FUNCTION: Catalyzes the reversible phosphorylation of S-methyl-5'- thioadenosine (MTA) to adenine and 5-methylthioribose-1-phosphate. Involved in the breakdown of MTA, a major by-product of polyamine biosynthesis. Responsible for the first step in the methionine salvage pathway after MTA has been generated from S- adenosylmethionine. Has broad substrate specificity with 6- aminopurine nucleosides as preferred substrates. {ECO:0000255|HAMAP-Rule:MF_03155, ECO:0000269|PubMed:3091600}.; </t>
  </si>
  <si>
    <t xml:space="preserve">DISEASE: Note=Loss of MTAP activity may play a role in human cancer. MTAP loss has been reported in a number of cancers, including osteosarcoma, malignant melanoma and gastric cancer.; </t>
  </si>
  <si>
    <t xml:space="preserve">188.64</t>
  </si>
  <si>
    <t xml:space="preserve">0.386441238708853</t>
  </si>
  <si>
    <t xml:space="preserve">nuclear transcription factor, X-box binding 1</t>
  </si>
  <si>
    <t xml:space="preserve">FUNCTION: Binds to the X-box motif of MHC class II genes and represses their expression. May play an important role in regulating the duration of an inflammatory response by limiting the period in which MHC class II molecules are induced by interferon-gamma. Isoform 3 binds to the X-box motif of TERT promoter and represses its expression. Together with PABPC1 or PABPC4, isoform 1 acts as a coactivator for TERT expression. Mediates E2-dependent ubiquitination. {ECO:0000269|PubMed:10500182, ECO:0000269|PubMed:15371341, ECO:0000269|PubMed:17267499}.; </t>
  </si>
  <si>
    <t xml:space="preserve">327.64</t>
  </si>
  <si>
    <t xml:space="preserve">0.980364885210913</t>
  </si>
  <si>
    <t xml:space="preserve">structural maintenance of chromosomes 5</t>
  </si>
  <si>
    <t xml:space="preserve">FUNCTION: Core component of the SMC5-SMC6 complex, a complex involved in repair of DNA double-strand breaks by homologous recombination. The complex may promote sister chromatid homologous recombination by recruiting the SMC1-SMC3 cohesin complex to double-strand breaks. The complex is required for telomere maintenance via recombination in ALT (alternative lengthening of telomeres) cell lines and mediates sumoylation of shelterin complex (telosome) components which is proposed to lead to shelterin complex disassembly in ALT-associated PML bodies (APBs). Required for recruitment of telomeres to PML nuclear bodies. Required for sister chromatid cohesion during prometaphase and mitotic progression; the function seems to be independent of SMC6. {ECO:0000269|PubMed:16810316, ECO:0000269|PubMed:17589526, ECO:0000269|PubMed:19502785}.; </t>
  </si>
  <si>
    <t xml:space="preserve">311.64</t>
  </si>
  <si>
    <t xml:space="preserve">0.0985907926556028</t>
  </si>
  <si>
    <t xml:space="preserve">fructose-bisphosphatase 1</t>
  </si>
  <si>
    <t xml:space="preserve">FUNCTION: Catalyzes the hydrolysis of fructose 1,6-bisphosphate to fructose 6-phosphate in the presence of divalent cations, acting as a rate-limiting enzyme in gluconeogenesis. Plays a role in regulating glucose sensing and insulin secretion of pancreatic beta-cells. Appears to modulate glycerol gluconeogenesis in liver. Important regulator of appetite and adiposity; increased expression of the protein in liver after nutrient excess increases circulating satiety hormones and reduces appetite-stimulating neuropeptides and thus seems to provide a feedback mechanism to limit weight gain. {ECO:0000269|PubMed:16497803, ECO:0000269|PubMed:18375435, ECO:0000269|PubMed:22517657}.; </t>
  </si>
  <si>
    <t xml:space="preserve">DISEASE: Fructose-1,6-bisphosphatase deficiency (FBP1D) [MIM:229700]: An autosomal recessive metabolic disorder characterized by impaired gluconeogenesis, and episodes of hypoglycemia and metabolic acidosis that can be lethal in newborn infants or young children. {ECO:0000269|PubMed:12126934, ECO:0000269|PubMed:9382095}. Note=The disease is caused by mutations affecting the gene represented in this entry.; </t>
  </si>
  <si>
    <t xml:space="preserve">350.64</t>
  </si>
  <si>
    <t xml:space="preserve">4,10</t>
  </si>
  <si>
    <t xml:space="preserve">5.35201684379183e-22</t>
  </si>
  <si>
    <t xml:space="preserve">coiled-coil domain containing 180</t>
  </si>
  <si>
    <t xml:space="preserve">134.12</t>
  </si>
  <si>
    <t xml:space="preserve">1,6</t>
  </si>
  <si>
    <t xml:space="preserve">NM_153366:exon46:c.10505-2-&gt;TTT;uc010mty.3:exon13:c.4283-2-&gt;TTT;uc010mtz.3:exon46:c.10505-2-&gt;TTT;ENST00000374469.6_8:exon46:c.10505-2-&gt;TTT</t>
  </si>
  <si>
    <t xml:space="preserve">0.589007650495336</t>
  </si>
  <si>
    <t xml:space="preserve">sushi, von Willebrand factor type A, EGF and pentraxin domain containing 1</t>
  </si>
  <si>
    <t xml:space="preserve">FUNCTION: May play a role in the cell attachment process. {ECO:0000250}.; </t>
  </si>
  <si>
    <t xml:space="preserve">387.64</t>
  </si>
  <si>
    <t xml:space="preserve">ARSD:NM_009589:exon7:c.T1147C:p.X383Q</t>
  </si>
  <si>
    <t xml:space="preserve">0.292872844082226</t>
  </si>
  <si>
    <t xml:space="preserve">arylsulfatase D</t>
  </si>
  <si>
    <t xml:space="preserve">11,17</t>
  </si>
  <si>
    <t xml:space="preserve">ACAG</t>
  </si>
  <si>
    <t xml:space="preserve">1812.03</t>
  </si>
  <si>
    <t xml:space="preserve">0,41</t>
  </si>
  <si>
    <t xml:space="preserve">MAGIX:NM_001099681:exon3:c.232_235del:p.D79Vfs*87,MAGIX:NM_001099682:exon3:c.232_235del:p.D79Vfs*82,MAGIX:NM_024859:exon3:c.232_235del:p.D79Vfs*18;MAGIX:uc004dmw.2:exon1:c.76_79del:p.D27Vfs*45,MAGIX:uc004dmt.2:exon3:c.232_235del:p.D79Vfs*82,MAGIX:uc010nin.1:exon3:c.232_235del:p.D79Vfs*18,MAGIX:uc010nio.1:exon3:c.232_235del:p.D79Vfs*87;MAGIX:ENST00000615915.4_2:exon1:c.76_79del:p.D27Vfs*45</t>
  </si>
  <si>
    <t xml:space="preserve">0.0035921864657483</t>
  </si>
  <si>
    <t xml:space="preserve">MAGI family member, X-linked</t>
  </si>
  <si>
    <t xml:space="preserve">596.60</t>
  </si>
  <si>
    <t xml:space="preserve">69,20</t>
  </si>
  <si>
    <t xml:space="preserve">FAM104B:NM_001166699:exon3:c.182_183insA:p.S61Rfs*13,FAM104B:NM_001166700:exon3:c.182_183insA:p.S61Rfs*13,FAM104B:NM_001166701:exon3:c.179_180insA:p.S60Rfs*13,FAM104B:NM_001166702:exon3:c.170_171insA:p.S57Rfs*13,FAM104B:NM_001166703:exon3:c.176_177insA:p.S59Rfs*13,FAM104B:NM_138362:exon3:c.179_180insA:p.S60Rfs*13;FAM104B:uc004dug.2:exon3:c.182_183insA:p.S61Rfs*13,FAM104B:uc004duh.2:exon3:c.179_180insA:p.S60Rfs*13,FAM104B:uc004dui.4:exon3:c.182_183insA:p.S61Rfs*13,FAM104B:uc022bxm.1:exon3:c.176_177insA:p.S59Rfs*13,FAM104B:uc022bxn.1:exon3:c.170_171insA:p.S57Rfs*13,FAM104B:uc022bxo.1:exon3:c.179_180insA:p.S60Rfs*13;FAM104B:ENST00000332132.8_5:exon3:c.182_183insA:p.S61Rfs*13,FAM104B:ENST00000358460.8_6:exon3:c.179_180insA:p.S60Rfs*13,FAM104B:ENST00000425133.2_9:exon3:c.182_183insA:p.S61Rfs*13,FAM104B:ENST00000477847.6_5:exon3:c.170_171insA:p.S57Rfs*13,FAM104B:ENST00000489298.1_8:exon3:c.176_177insA:p.S59Rfs*13,FAM104B:ENST00000685693.1_3:exon3:c.179_180insA:p.S60Rfs*13</t>
  </si>
  <si>
    <t xml:space="preserve">486.60</t>
  </si>
  <si>
    <t xml:space="preserve">70,17</t>
  </si>
  <si>
    <t xml:space="preserve">FAM104B:NM_001166699:exon3:c.179delC:p.A60Efs*8,FAM104B:NM_001166700:exon3:c.179delC:p.A60Efs*8,FAM104B:NM_001166701:exon3:c.176delC:p.A59Efs*8,FAM104B:NM_001166702:exon3:c.167delC:p.A56Efs*8,FAM104B:NM_001166703:exon3:c.173delC:p.A58Efs*8,FAM104B:NM_138362:exon3:c.176delC:p.A59Efs*8;FAM104B:uc004dug.2:exon3:c.179delC:p.A60Efs*8,FAM104B:uc004duh.2:exon3:c.176delC:p.A59Efs*8,FAM104B:uc004dui.4:exon3:c.179delC:p.A60Efs*8,FAM104B:uc022bxm.1:exon3:c.173delC:p.A58Efs*8,FAM104B:uc022bxn.1:exon3:c.167delC:p.A56Efs*8,FAM104B:uc022bxo.1:exon3:c.176delC:p.A59Efs*8;FAM104B:ENST00000332132.8_5:exon3:c.179delC:p.A60Efs*8,FAM104B:ENST00000358460.8_6:exon3:c.176delC:p.A59Efs*8,FAM104B:ENST00000425133.2_9:exon3:c.179delC:p.A60Efs*8,FAM104B:ENST00000477847.6_5:exon3:c.167delC:p.A56Efs*8,FAM104B:ENST00000489298.1_8:exon3:c.173delC:p.A58Efs*8,FAM104B:ENST00000685693.1_3:exon3:c.176delC:p.A59Efs*8</t>
  </si>
  <si>
    <t xml:space="preserve">GATTAATGATGATATATTT</t>
  </si>
  <si>
    <t xml:space="preserve">53.60</t>
  </si>
  <si>
    <t xml:space="preserve">NEXMIF:NM_001008537:exon3:c.1621_1639del:p.K541Afs*10;KIAA2022:uc004eby.3:exon3:c.1621_1639del:p.K541Afs*10;NEXMIF:ENST00000055682.12_6:exon3:c.1621_1639del:p.K541Afs*10,NEXMIF:ENST00000616200.2_3:exon3:c.1621_1639del:p.K541Afs*10,NEXMIF:ENST00000642681.2_3:exon3:c.1621_1639del:p.K541Afs*10</t>
  </si>
  <si>
    <t xml:space="preserve">0.950542378844954</t>
  </si>
  <si>
    <t xml:space="preserve">KIAA2022</t>
  </si>
  <si>
    <t xml:space="preserve">FUNCTION: May be involved in neuronal development. {ECO:0000250}.; </t>
  </si>
  <si>
    <t xml:space="preserve">DISEASE: Mental retardation, X-linked 98 (MRX98) [MIM:300912]: A disorder characterized by significantly below average general intellectual functioning associated with impairments in adaptive behavior and manifested during the developmental period. MRX98 patients show delayed psychomotor development, absent or poor speech development, and postnatal growth retardation, often with microcephaly. Some patients show autistic behavioral features, such as stereotypic hand movements and repetitive behaviors. Additional, more variable features include spasticity, axial hypotonia, seizures, drooling, gastroesophageal reflux, and lack of sphincter control. {ECO:0000269|PubMed:15466006, ECO:0000269|PubMed:23615299}. Note=The disease is caused by mutations affecting the gene represented in this entry. A chromosomal aberration involving KIAA2022 is found in patients with severe mental retardation. Pericentric inversion inv(X)(p22.3;q13.2) with P2RY8 leading to inactivation of KIAA2022 (PubMed:15466006). {ECO:0000269|PubMed:15466006}.; </t>
  </si>
  <si>
    <t xml:space="preserve">RNF128:NM_024539:exon2:c.545delT:p.F184Sfs*38,RNF128:NM_194463:exon2:c.623delT:p.F210Sfs*38;RNF128:uc004emk.3:exon2:c.545delT:p.F184Sfs*38,RNF128:uc004eml.3:exon2:c.623delT:p.F210Sfs*38;RNF128:ENST00000255499.3_7:exon2:c.623delT:p.F210Sfs*38,RNF128:ENST00000324342.7_4:exon2:c.545delT:p.F184Sfs*38</t>
  </si>
  <si>
    <t xml:space="preserve">0.768185327415573</t>
  </si>
  <si>
    <t xml:space="preserve">ring finger protein 128, E3 ubiquitin protein ligase</t>
  </si>
  <si>
    <t xml:space="preserve">FUNCTION: E3 ubiquitin-protein ligase that catalyzes 'Lys-48'- and 'Lys-63'-linked polyubiquitin chains formation. Functions as an inhibitor of cytokine gene transcription. Inhibits IL2 and IL4 transcription, thereby playing an important role in the induction of the anergic phenotype, a long-term stable state of T-lymphocyte unresponsiveness to antigenic stimulation associated with the blockade of interleukin production. Ubiquitinates ARPC5 with 'Lys- 48' linkages and COR1A with 'Lys-63' linkages leading to their degradation, down-regulation of these cytosleletal components results in impaired lamellipodium formation and reduced accumulation of F-actin at the immunological synapse. Functions in the patterning of the dorsal ectoderm; sensitizes ectoderm to respond to neural-inducing signals. {ECO:0000269|PubMed:12705856, ECO:0000269|PubMed:22016387}.; </t>
  </si>
  <si>
    <t xml:space="preserve">893.06</t>
  </si>
  <si>
    <t xml:space="preserve">0,26</t>
  </si>
  <si>
    <t xml:space="preserve">0.910792997313756</t>
  </si>
  <si>
    <t xml:space="preserve">Alport syndrome, mental retardation, midface hypoplasia and elliptocytosis chromosomal region gene 1</t>
  </si>
  <si>
    <t xml:space="preserve">DISEASE: Alport syndrome with mental retardation, midface hypoplasia and elliptocytosis (ATS-MR) [MIM:300194]: A X-linked contiguous gene deletion syndrome characterized by glomerulonephritis, sensorineural hearing loss, mental retardation, midface hypoplasia and elliptocytosis. {ECO:0000269|PubMed:10049589}. Note=The gene represented in this entry may be involved in disease pathogenesis.; </t>
  </si>
  <si>
    <t xml:space="preserve">799.60</t>
  </si>
  <si>
    <t xml:space="preserve">21,31</t>
  </si>
  <si>
    <t xml:space="preserve">RHOXF2B:NM_001099685:exon2:c.376dupG:p.L128Afs*34,RHOXF2:NM_032498:exon2:c.376dupG:p.L128Afs*34;RHOXF2B:uc004esl.4:exon2:c.376dupG:p.L128Afs*34;RHOXF2:ENST00000371388.5_3:exon2:c.376dupG:p.L128Afs*34</t>
  </si>
  <si>
    <t xml:space="preserve">0.576875870835534;0.592958781555666</t>
  </si>
  <si>
    <t xml:space="preserve">Rhox homeobox family member 2;Rhox homeobox family member 2B</t>
  </si>
  <si>
    <t xml:space="preserve">975.06</t>
  </si>
  <si>
    <t xml:space="preserve">0.983112793293949</t>
  </si>
  <si>
    <t xml:space="preserve">plexin A3</t>
  </si>
  <si>
    <t xml:space="preserve">FUNCTION: Coreceptor for SEMA3A and SEMA3F. Necessary for signaling by class 3 semaphorins and subsequent remodeling of the cytoskeleton. Plays a role in axon guidance in the developing nervous system. Regulates the migration of sympathetic neurons, but not of neural crest precursors. Required for normal dendrite spine morphology in pyramidal neurons. May play a role in regulating semaphorin-mediated programmed cell death in the developing nervous system. Class 3 semaphorins bind to a complex composed of a neuropilin and a plexin. The plexin modulates the affinity of the complex for specific semaphorins, and its cytoplasmic domain is required for the activation of down-stream signaling events in the cytoplasm.; </t>
  </si>
  <si>
    <t xml:space="preserve">#Gene_name</t>
  </si>
  <si>
    <t xml:space="preserve">Tissue_specificity(Uniprot)</t>
  </si>
  <si>
    <t xml:space="preserve">Expression(egenetics)</t>
  </si>
  <si>
    <t xml:space="preserve">Expression(GNF/Atlas)</t>
  </si>
  <si>
    <t xml:space="preserve">OMIM-00</t>
  </si>
  <si>
    <t xml:space="preserve">OMIM-01</t>
  </si>
  <si>
    <t xml:space="preserve">OMIM-02</t>
  </si>
  <si>
    <t xml:space="preserve">OMIM-03</t>
  </si>
  <si>
    <t xml:space="preserve">OMIM-04</t>
  </si>
  <si>
    <t xml:space="preserve">OMIM-05</t>
  </si>
  <si>
    <t xml:space="preserve">AATK</t>
  </si>
  <si>
    <t xml:space="preserve">TISSUE SPECIFICITY: Expressed in brain. {ECO:0000269|PubMed:10837911}.; </t>
  </si>
  <si>
    <t xml:space="preserve">colon;parathyroid;choroid;skin;bone marrow;prostate;frontal lobe;cerebral cortex;bone;iris;testis;spinal ganglion;brain;unclassifiable (Anatomical System);amygdala;islets of Langerhans;hypothalamus;muscle;blood;pancreas;lung;adrenal gland;hippocampus;visual apparatus;duodenum;mammary gland;stomach;cerebellum;</t>
  </si>
  <si>
    <t xml:space="preserve">amygdala;dorsal root ganglion;whole brain;thalamus;occipital lobe;superior cervical ganglion;medulla oblongata;olfactory bulb;hypothalamus;spinal cord;caudate nucleus;pons;subthalamic nucleus;trigeminal ganglion;cingulate cortex;parietal lobe;cerebellum;</t>
  </si>
  <si>
    <t xml:space="preserve">ABCA13</t>
  </si>
  <si>
    <t xml:space="preserve">TISSUE SPECIFICITY: Significantly expressed in the bone marrow, trachea, testis, thyroid and lung as well as in skin fibroblasts. {ECO:0000269|PubMed:12697998, ECO:0000269|PubMed:23266639}.; </t>
  </si>
  <si>
    <t xml:space="preserve">ABCA8</t>
  </si>
  <si>
    <t xml:space="preserve">TISSUE SPECIFICITY: Widely expressed with higher expression in heart, skeletal muscle and liver. {ECO:0000269|PubMed:12379217}.; </t>
  </si>
  <si>
    <t xml:space="preserve">myocardium;medulla oblongata;sympathetic chain;colon;substantia nigra;skin;retina;prostate;optic nerve;whole body;cochlea;endometrium;iris;pituitary gland;testis;dura mater;spinal ganglion;brain;unclassifiable (Anatomical System);meninges;heart;spinal cord;skeletal muscle;pancreas;pia mater;lung;adrenal gland;trabecular meshwork;visual apparatus;hippocampus;liver;spleen;kidney;mammary gland;stomach;aorta;</t>
  </si>
  <si>
    <t xml:space="preserve">dorsal root ganglion;olfactory bulb;ciliary ganglion;atrioventricular node;trigeminal ganglion;</t>
  </si>
  <si>
    <t xml:space="preserve">ABCB9</t>
  </si>
  <si>
    <t xml:space="preserve">TISSUE SPECIFICITY: Highly expressed in testis, and at moderate levels in brain, spinal cord, and thyroid. Not expressed in monocytes but strongly expressed during differentiation of monocytes to dendritic cells and macrophages. {ECO:0000269|PubMed:10748049, ECO:0000269|PubMed:17977821}.; </t>
  </si>
  <si>
    <t xml:space="preserve">unclassifiable (Anatomical System);medulla oblongata;ovary;fovea centralis;choroid;lens;skin;retina;bile duct;uterus;prostate;optic nerve;lung;placenta;macula lutea;visual apparatus;liver;testis;cervix;kidney;germinal center;mammary gland;brain;stomach;</t>
  </si>
  <si>
    <t xml:space="preserve">dorsal root ganglion;subthalamic nucleus;testis - interstitial;prefrontal cortex;testis;ciliary ganglion;caudate nucleus;trigeminal ganglion;parietal lobe;</t>
  </si>
  <si>
    <t xml:space="preserve">ABCD1</t>
  </si>
  <si>
    <t xml:space="preserve">unclassifiable (Anatomical System);lymph node;cartilage;ovary;colon;parathyroid;blood;choroid;skin;skeletal muscle;retina;pancreas;lung;adrenal gland;bone;placenta;alveolus;testis;cervix;kidney;brain;stomach;</t>
  </si>
  <si>
    <t xml:space="preserve">superior cervical ganglion;skeletal muscle;</t>
  </si>
  <si>
    <t xml:space="preserve">ABHD12</t>
  </si>
  <si>
    <t xml:space="preserve">lymphoreticular;smooth muscle;ovary;salivary gland;sympathetic chain;colon;parathyroid;fovea centralis;choroid;skin;retina;bone marrow;uterus;prostate;optic nerve;frontal lobe;cerebral cortex;endometrium;larynx;bone;testis;spinal ganglion;brain;bladder;unclassifiable (Anatomical System);lymph node;cartilage;heart;hypothalamus;muscle;blood;lens;pancreas;lung;placenta;macula lutea;visual apparatus;hippocampus;liver;spleen;head and neck;cervix;kidney;mammary gland;stomach;peripheral nerve;thymus;</t>
  </si>
  <si>
    <t xml:space="preserve">whole brain;subthalamic nucleus;medulla oblongata;occipital lobe;hypothalamus;temporal lobe;pons;parietal lobe;cingulate cortex;</t>
  </si>
  <si>
    <t xml:space="preserve">ABI3</t>
  </si>
  <si>
    <t xml:space="preserve">TISSUE SPECIFICITY: Expressed in heart, lung, liver, pancreas, kidney, placenta and at low levels in brain and skeletal muscle. {ECO:0000269|PubMed:10978530}.; </t>
  </si>
  <si>
    <t xml:space="preserve">unclassifiable (Anatomical System);smooth muscle;colon;fovea centralis;choroid;lens;skeletal muscle;retina;pancreas;prostate;optic nerve;lung;bone;thyroid;placenta;macula lutea;pituitary gland;testis;spleen;germinal center;kidney;brain;tonsil;stomach;</t>
  </si>
  <si>
    <t xml:space="preserve">ACAP3</t>
  </si>
  <si>
    <t xml:space="preserve">lymphoreticular;ovary;colon;choroid;fovea centralis;skin;bone marrow;retina;uterus;optic nerve;frontal lobe;bone;pituitary gland;testis;bladder;brain;unclassifiable (Anatomical System);heart;cartilage;islets of Langerhans;hypothalamus;muscle;urinary;blood;lens;breast;pancreas;lung;placenta;visual apparatus;macula lutea;liver;alveolus;spleen;cervix;kidney;mammary gland;stomach;peripheral nerve;</t>
  </si>
  <si>
    <t xml:space="preserve">ADAMTS14</t>
  </si>
  <si>
    <t xml:space="preserve">TISSUE SPECIFICITY: Expressed in retina and at low levels in brain, lung and placenta. High expression in fetal tissues.; </t>
  </si>
  <si>
    <t xml:space="preserve">ADAMTS17</t>
  </si>
  <si>
    <t xml:space="preserve">TISSUE SPECIFICITY: Isoform 1 and isoform 2 are expressed at high levels in the lung, brain, whole eye and retina. Isoform 1 shows a weaker expression in the heart, kidney and skeletal muscle. Isoform 2 shows a weaker expression in the kidney, bone marrow and skeletal muscle. Isoform 1 and isoform 2 are expressed at high levels in the fetal heart, kidney, and whole eye, whereas a weak expression is seen in the fetal liver. {ECO:0000269|PubMed:19836009}.; </t>
  </si>
  <si>
    <t xml:space="preserve">unclassifiable (Anatomical System);lung;testis;germinal center;thymus;</t>
  </si>
  <si>
    <t xml:space="preserve">dorsal root ganglion;superior cervical ganglion;subthalamic nucleus;globus pallidus;ciliary ganglion;caudate nucleus;atrioventricular node;kidney;trigeminal ganglion;skeletal muscle;</t>
  </si>
  <si>
    <t xml:space="preserve">ADAMTS7</t>
  </si>
  <si>
    <t xml:space="preserve">TISSUE SPECIFICITY: Expressed in heart, brain, placenta, lung, liver, skeletal muscle, kidney and pancreas. Detected in meniscus, bone, tendon, cartilage, synovium, fat and ligaments. {ECO:0000269|PubMed:15192113, ECO:0000269|PubMed:16585064}.; </t>
  </si>
  <si>
    <t xml:space="preserve">ADAMTSL3</t>
  </si>
  <si>
    <t xml:space="preserve">TISSUE SPECIFICITY: Expressed in epithelial cells of the colon, fallopian tube, skin, breast, prostate, epididymis, liver, pancreatic islets and bile ducts, as well as by vascular endothelial cells, smooth muscle cells, fibroblasts, cortical and ganglionic neurons and cardiac myocytes. Also expressed by malignant epithelial cells in colon cancer, as well as breast, prostate, renal and skin tumors. Expression is significantly reduced in colon cancer compared to normal colon. {ECO:0000269|PubMed:14667842, ECO:0000269|PubMed:17597111}.; </t>
  </si>
  <si>
    <t xml:space="preserve">unclassifiable (Anatomical System);heart;colon;skin;skeletal muscle;uterus;prostate;whole body;lung;thyroid;placenta;visual apparatus;iris;liver;testis;spleen;brain;aorta;stomach;</t>
  </si>
  <si>
    <t xml:space="preserve">dorsal root ganglion;superior cervical ganglion;globus pallidus;ciliary ganglion;atrioventricular node;trigeminal ganglion;parietal lobe;skeletal muscle;skin;</t>
  </si>
  <si>
    <t xml:space="preserve">ADGRF3</t>
  </si>
  <si>
    <t xml:space="preserve">ADRBK2</t>
  </si>
  <si>
    <t xml:space="preserve">unclassifiable (Anatomical System);ovary;heart;islets of Langerhans;colon;parathyroid;blood;skin;skeletal muscle;retina;breast;prostate;pancreas;lung;nasopharynx;placenta;alveolus;liver;testis;spleen;kidney;germinal center;brain;aorta;stomach;cerebellum;</t>
  </si>
  <si>
    <t xml:space="preserve">superior cervical ganglion;testis - interstitial;testis;</t>
  </si>
  <si>
    <t xml:space="preserve">AGPAT4</t>
  </si>
  <si>
    <t xml:space="preserve">TISSUE SPECIFICITY: Widely expressed with highest levels in skeletal muscle, followed by heart, liver, prostate and thymus. {ECO:0000269|PubMed:21173190}.; </t>
  </si>
  <si>
    <t xml:space="preserve">unclassifiable (Anatomical System);cartilage;islets of Langerhans;hypothalamus;muscle;colon;pancreas;whole body;lung;frontal lobe;placenta;bone;hippocampus;alveolus;testis;spleen;kidney;brain;stomach;</t>
  </si>
  <si>
    <t xml:space="preserve">whole brain;amygdala;subthalamic nucleus;thalamus;occipital lobe;hypothalamus;spinal cord;caudate nucleus;</t>
  </si>
  <si>
    <t xml:space="preserve">AGT</t>
  </si>
  <si>
    <t xml:space="preserve">TISSUE SPECIFICITY: Expressed by the liver and secreted in plasma.; </t>
  </si>
  <si>
    <t xml:space="preserve">AHSP</t>
  </si>
  <si>
    <t xml:space="preserve">TISSUE SPECIFICITY: Expressed in blood and bone marrow. {ECO:0000269|PubMed:11231637, ECO:0000269|PubMed:12066189}.; </t>
  </si>
  <si>
    <t xml:space="preserve">unclassifiable (Anatomical System);heart;blood;fovea centralis;choroid;lens;retina;bone marrow;uterus;pancreas;optic nerve;whole body;lung;macula lutea;visual apparatus;liver;spleen;</t>
  </si>
  <si>
    <t xml:space="preserve">fetal liver;atrioventricular node;trigeminal ganglion;bone marrow;</t>
  </si>
  <si>
    <t xml:space="preserve">AKAP9</t>
  </si>
  <si>
    <t xml:space="preserve">TISSUE SPECIFICITY: Widely expressed (PubMed:10202149). Isoform 4: Highly expressed in skeletal muscle and in pancreas (PubMed:9482789). {ECO:0000269|PubMed:10202149, ECO:0000269|PubMed:9482789}.; </t>
  </si>
  <si>
    <t xml:space="preserve">lymphoreticular;ovary;skin;bone marrow;retina;prostate;optic nerve;frontal lobe;endometrium;thyroid;germinal center;bladder;brain;heart;cartilage;urinary;spinal cord;adrenal cortex;pharynx;blood;lens;skeletal muscle;breast;trabecular meshwork;macula lutea;visual apparatus;liver;spleen;mammary gland;salivary gland;intestine;colon;parathyroid;fovea centralis;choroid;uterus;whole body;pituitary gland;testis;pineal gland;unclassifiable (Anatomical System);lymph node;islets of Langerhans;hypothalamus;bile duct;pancreas;lung;adrenal gland;nasopharynx;placenta;head and neck;kidney;stomach;</t>
  </si>
  <si>
    <t xml:space="preserve">superior cervical ganglion;ciliary ganglion;trigeminal ganglion;</t>
  </si>
  <si>
    <t xml:space="preserve">ALOX15B</t>
  </si>
  <si>
    <t xml:space="preserve">TISSUE SPECIFICITY: Expressed in hair, prostate, lung, ovary, lymph node, spinal cord and cornea. {ECO:0000269|PubMed:10542053, ECO:0000269|PubMed:11350124, ECO:0000269|PubMed:9177185}.; </t>
  </si>
  <si>
    <t xml:space="preserve">unclassifiable (Anatomical System);uterus;prostate;lung;mammary gland;skin;</t>
  </si>
  <si>
    <t xml:space="preserve">prostate;superior cervical ganglion;atrioventricular node;</t>
  </si>
  <si>
    <t xml:space="preserve">ALS2CR12</t>
  </si>
  <si>
    <t xml:space="preserve">unclassifiable (Anatomical System);uterus;medulla oblongata;lung;nasopharynx;liver;testis;spleen;</t>
  </si>
  <si>
    <t xml:space="preserve">ALX3</t>
  </si>
  <si>
    <t xml:space="preserve">AMIGO1</t>
  </si>
  <si>
    <t xml:space="preserve">AMMECR1</t>
  </si>
  <si>
    <t xml:space="preserve">unclassifiable (Anatomical System);liver;spleen;brain;skeletal muscle;aorta;</t>
  </si>
  <si>
    <t xml:space="preserve">superior cervical ganglion;atrioventricular node;trigeminal ganglion;skeletal muscle;</t>
  </si>
  <si>
    <t xml:space="preserve">AMOTL2</t>
  </si>
  <si>
    <t xml:space="preserve">ovary;colon;fovea centralis;choroid;skin;retina;uterus;prostate;optic nerve;whole body;frontal lobe;cochlea;cerebral cortex;endometrium;larynx;bone;thyroid;testis;amniotic fluid;brain;unclassifiable (Anatomical System);amygdala;cartilage;heart;tongue;islets of Langerhans;hypothalamus;pineal body;lens;skeletal muscle;bile duct;breast;pancreas;lung;placenta;macula lutea;visual apparatus;liver;amnion;spleen;head and neck;kidney;mammary gland;stomach;</t>
  </si>
  <si>
    <t xml:space="preserve">ANAPC13</t>
  </si>
  <si>
    <t xml:space="preserve">0.00134979464058177</t>
  </si>
  <si>
    <t xml:space="preserve">anaphase promoting complex subunit 13</t>
  </si>
  <si>
    <t xml:space="preserve">FUNCTION: Component of the anaphase promoting complex/cyclosome (APC/C), a cell cycle-regulated E3 ubiquitin ligase that controls progression through mitosis and the G1 phase of the cell cycle. The APC/C complex acts by mediating ubiquitination and subsequent degradation of target proteins: it mainly mediates the formation of 'Lys-11'-linked polyubiquitin chains and, to a lower extent, the formation of 'Lys-48'- and 'Lys-63'-linked polyubiquitin chains. {ECO:0000269|PubMed:15060174, ECO:0000269|PubMed:18485873}.; </t>
  </si>
  <si>
    <t xml:space="preserve">myocardium;smooth muscle;ovary;skin;bone marrow;retina;prostate;optic nerve;endometrium;germinal center;bladder;brain;heart;cartilage;pharynx;blood;skeletal muscle;breast;trabecular meshwork;visual apparatus;liver;spleen;cervix;mammary gland;salivary gland;intestine;colon;parathyroid;uterus;whole body;atrium;larynx;bone;testis;spinal ganglion;artery;unclassifiable (Anatomical System);lymph node;small intestine;islets of Langerhans;hypothalamus;bile duct;pancreas;lung;adrenal gland;nasopharynx;placenta;amnion;head and neck;kidney;stomach;aorta;</t>
  </si>
  <si>
    <t xml:space="preserve">dorsal root ganglion;medulla oblongata;superior cervical ganglion;hypothalamus;prefrontal cortex;globus pallidus;ciliary ganglion;atrioventricular node;kidney;trigeminal ganglion;skeletal muscle;</t>
  </si>
  <si>
    <t xml:space="preserve">ANK2</t>
  </si>
  <si>
    <t xml:space="preserve">TISSUE SPECIFICITY: Present in plasma membrane of neurons as well as glial cells throughout the brain. Expressed in fetal brain and in temporal cortex of adult brain. Also expressed in the inner segments of rod photoreceptors in retina. {ECO:0000269|PubMed:1830053, ECO:0000269|PubMed:1833308, ECO:0000269|PubMed:19007774}.; </t>
  </si>
  <si>
    <t xml:space="preserve">sympathetic chain;colon;fovea centralis;choroid;skin;retina;uterus;prostate;optic nerve;whole body;frontal lobe;testis;spinal ganglion;brain;unclassifiable (Anatomical System);amygdala;heart;cartilage;islets of Langerhans;hypothalamus;spinal cord;lens;skeletal muscle;lung;adrenal gland;nasopharynx;trabecular meshwork;visual apparatus;hippocampus;macula lutea;liver;spleen;head and neck;kidney;aorta;stomach;peripheral nerve;</t>
  </si>
  <si>
    <t xml:space="preserve">amygdala;dorsal root ganglion;whole brain;superior cervical ganglion;medulla oblongata;occipital lobe;thalamus;cerebellum peduncles;hypothalamus;temporal lobe;spinal cord;pons;caudate nucleus;subthalamic nucleus;fetal brain;prefrontal cortex;globus pallidus;ciliary ganglion;trigeminal ganglion;parietal lobe;cingulate cortex;cerebellum;</t>
  </si>
  <si>
    <t xml:space="preserve">ANKRD13A</t>
  </si>
  <si>
    <t xml:space="preserve">smooth muscle;ovary;colon;skin;retina;bone marrow;uterus;prostate;whole body;frontal lobe;cochlea;endometrium;larynx;bone;thyroid;testis;germinal center;brain;unclassifiable (Anatomical System);lymph node;cartilage;heart;tongue;islets of Langerhans;hypothalamus;blood;breast;pancreas;lung;adrenal gland;trabecular meshwork;placenta;visual apparatus;liver;spleen;head and neck;cervix;kidney;stomach;</t>
  </si>
  <si>
    <t xml:space="preserve">dorsal root ganglion;superior cervical ganglion;globus pallidus;atrioventricular node;trigeminal ganglion;parietal lobe;skeletal muscle;cerebellum;</t>
  </si>
  <si>
    <t xml:space="preserve">ANKRD24</t>
  </si>
  <si>
    <t xml:space="preserve">frontal lobe;placenta;stomach;</t>
  </si>
  <si>
    <t xml:space="preserve">subthalamic nucleus;superior cervical ganglion;medulla oblongata;globus pallidus;ciliary ganglion;pons;atrioventricular node;trigeminal ganglion;skeletal muscle;</t>
  </si>
  <si>
    <t xml:space="preserve">ANKRD31</t>
  </si>
  <si>
    <t xml:space="preserve">ANKRD36C</t>
  </si>
  <si>
    <t xml:space="preserve">unclassifiable (Anatomical System);lymph node;colon;skeletal muscle;retina;breast;uterus;prostate;whole body;lung;cornea;endometrium;larynx;nasopharynx;liver;testis;head and neck;germinal center;kidney;pineal gland;mammary gland;stomach;</t>
  </si>
  <si>
    <t xml:space="preserve">ANKRD63</t>
  </si>
  <si>
    <t xml:space="preserve">AP2S1</t>
  </si>
  <si>
    <t xml:space="preserve">smooth muscle;ovary;sympathetic chain;skin;bone marrow;retina;prostate;optic nerve;endometrium;germinal center;bladder;brain;heart;cartilage;adrenal cortex;pharynx;blood;lens;skeletal muscle;breast;epididymis;trabecular meshwork;visual apparatus;macula lutea;liver;alveolus;spleen;cervix;mammary gland;salivary gland;intestine;colon;parathyroid;choroid;fovea centralis;uterus;oesophagus;bone;testis;unclassifiable (Anatomical System);lymph node;islets of Langerhans;hypothalamus;muscle;pancreas;lung;cornea;placenta;duodenum;kidney;stomach;thymus;</t>
  </si>
  <si>
    <t xml:space="preserve">whole brain;amygdala;medulla oblongata;prostate;lung;heart;temporal lobe;liver;globus pallidus;parietal lobe;</t>
  </si>
  <si>
    <t xml:space="preserve">AQP2</t>
  </si>
  <si>
    <t xml:space="preserve">TISSUE SPECIFICITY: Expressed in renal collecting tubules.; </t>
  </si>
  <si>
    <t xml:space="preserve">unclassifiable (Anatomical System);colon;choroid;fovea centralis;lens;retina;prostate;optic nerve;lung;macula lutea;cervix;kidney;brain;stomach;</t>
  </si>
  <si>
    <t xml:space="preserve">dorsal root ganglion;ciliary ganglion;kidney;</t>
  </si>
  <si>
    <t xml:space="preserve">ARFGEF2</t>
  </si>
  <si>
    <t xml:space="preserve">TISSUE SPECIFICITY: Expressed in placenta, lung, heart, brain, kidney and pancreas.; </t>
  </si>
  <si>
    <t xml:space="preserve">ARFRP1</t>
  </si>
  <si>
    <t xml:space="preserve">TISSUE SPECIFICITY: Found in most tissues.; </t>
  </si>
  <si>
    <t xml:space="preserve">myocardium;medulla oblongata;ovary;salivary gland;colon;parathyroid;fovea centralis;choroid;skin;bone marrow;retina;uterus;prostate;optic nerve;endometrium;bone;testis;germinal center;brain;tonsil;unclassifiable (Anatomical System);lymph node;cartilage;heart;islets of Langerhans;muscle;urinary;adrenal cortex;blood;lens;skeletal muscle;pancreas;lung;placenta;macula lutea;visual apparatus;duodenum;spleen;cervix;kidney;mammary gland;aorta;stomach;cerebellum;thymus;</t>
  </si>
  <si>
    <t xml:space="preserve">dorsal root ganglion;subthalamic nucleus;superior cervical ganglion;globus pallidus;ciliary ganglion;caudate nucleus;atrioventricular node;trigeminal ganglion;skeletal muscle;cingulate cortex;cerebellum;</t>
  </si>
  <si>
    <t xml:space="preserve">ARHGAP17</t>
  </si>
  <si>
    <t xml:space="preserve">TISSUE SPECIFICITY: Ubiquitously expressed. Expressed at higher level in heart and placenta. {ECO:0000269|PubMed:11431473}.; </t>
  </si>
  <si>
    <t xml:space="preserve">smooth muscle;ovary;salivary gland;sympathetic chain;intestine;colon;parathyroid;vein;skin;retina;bone marrow;uterus;prostate;whole body;cochlea;endometrium;larynx;bone;thyroid;iris;testis;germinal center;brain;bladder;tonsil;unclassifiable (Anatomical System);cartilage;heart;lacrimal gland;islets of Langerhans;adrenal cortex;pharynx;blood;lens;skeletal muscle;breast;pancreas;lung;epididymis;nasopharynx;trabecular meshwork;placenta;visual apparatus;liver;head and neck;spleen;kidney;aorta;stomach;</t>
  </si>
  <si>
    <t xml:space="preserve">dorsal root ganglion;superior cervical ganglion;placenta;testis;ciliary ganglion;atrioventricular node;trigeminal ganglion;skeletal muscle;</t>
  </si>
  <si>
    <t xml:space="preserve">ARHGEF2</t>
  </si>
  <si>
    <t xml:space="preserve">myocardium;lymphoreticular;medulla oblongata;ovary;skin;retina;bone marrow;prostate;optic nerve;cochlea;endometrium;thyroid;iris;germinal center;brain;heart;cartilage;urinary;pharynx;blood;lens;breast;macula lutea;visual apparatus;liver;alveolus;spleen;cervix;mammary gland;peripheral nerve;salivary gland;intestine;colon;parathyroid;fovea centralis;choroid;uterus;whole body;larynx;synovium;bone;testis;unclassifiable (Anatomical System);lymph node;lacrimal gland;islets of Langerhans;hypothalamus;muscle;pancreas;lung;cornea;nasopharynx;placenta;head and neck;kidney;stomach;aorta;</t>
  </si>
  <si>
    <t xml:space="preserve">superior cervical ganglion;occipital lobe;medulla oblongata;thalamus;caudate nucleus;pons;atrioventricular node;subthalamic nucleus;globus pallidus;appendix;ciliary ganglion;trigeminal ganglion;parietal lobe;cerebellum;</t>
  </si>
  <si>
    <t xml:space="preserve">ARID2</t>
  </si>
  <si>
    <t xml:space="preserve">TISSUE SPECIFICITY: Highly expressed in heart and testis. {ECO:0000269|PubMed:16782067}.; </t>
  </si>
  <si>
    <t xml:space="preserve">unclassifiable (Anatomical System);lymph node;ovary;heart;muscle;colon;parathyroid;retina;bone marrow;breast;uterus;prostate;lung;endometrium;nasopharynx;thyroid;placenta;visual apparatus;liver;testis;head and neck;germinal center;kidney;brain;aorta;</t>
  </si>
  <si>
    <t xml:space="preserve">dorsal root ganglion;testis - interstitial;superior cervical ganglion;testis - seminiferous tubule;testis;ciliary ganglion;atrioventricular node;trigeminal ganglion;</t>
  </si>
  <si>
    <t xml:space="preserve">ARSD</t>
  </si>
  <si>
    <t xml:space="preserve">TISSUE SPECIFICITY: Expressed in the pancreas, kidney, liver, lung, placenta, brain and heart.; </t>
  </si>
  <si>
    <t xml:space="preserve">unclassifiable (Anatomical System);lung;ovary;placenta;blood;brain;mammary gland;vein;</t>
  </si>
  <si>
    <t xml:space="preserve">prostate;superior cervical ganglion;ciliary ganglion;atrioventricular node;pons;trigeminal ganglion;skeletal muscle;</t>
  </si>
  <si>
    <t xml:space="preserve">AS3MT</t>
  </si>
  <si>
    <t xml:space="preserve">ASTE1</t>
  </si>
  <si>
    <t xml:space="preserve">ovary;fovea centralis;skin;bone marrow;uterus;prostate;whole body;testis;germinal center;brain;unclassifiable (Anatomical System);lymph node;heart;cartilage;hypothalamus;skeletal muscle;breast;pancreas;lung;nasopharynx;placenta;macula lutea;visual apparatus;liver;spleen;cervix;kidney;mammary gland;stomach;</t>
  </si>
  <si>
    <t xml:space="preserve">parietal lobe;skeletal muscle;</t>
  </si>
  <si>
    <t xml:space="preserve">ATCAY</t>
  </si>
  <si>
    <t xml:space="preserve">ataxia, cerebellar, Cayman type</t>
  </si>
  <si>
    <t xml:space="preserve">unclassifiable (Anatomical System);frontal lobe;colon;brain;mammary gland;skeletal muscle;</t>
  </si>
  <si>
    <t xml:space="preserve">dorsal root ganglion;whole brain;superior cervical ganglion;globus pallidus;pons;parietal lobe;skeletal muscle;cerebellum;</t>
  </si>
  <si>
    <t xml:space="preserve">ATF6B</t>
  </si>
  <si>
    <t xml:space="preserve">TISSUE SPECIFICITY: Ubiquitous.; </t>
  </si>
  <si>
    <t xml:space="preserve">ATG2B</t>
  </si>
  <si>
    <t xml:space="preserve">ovary;colon;fovea centralis;skin;retina;bone marrow;uterus;frontal lobe;endometrium;cerebral cortex;bone;testis;germinal center;brain;unclassifiable (Anatomical System);small intestine;heart;cartilage;islets of Langerhans;blood;breast;lung;adrenal gland;placenta;macula lutea;visual apparatus;liver;kidney;stomach;</t>
  </si>
  <si>
    <t xml:space="preserve">superior cervical ganglion;ciliary ganglion;atrioventricular node;skeletal muscle;</t>
  </si>
  <si>
    <t xml:space="preserve">ATP13A4</t>
  </si>
  <si>
    <t xml:space="preserve">ATPase 13A4</t>
  </si>
  <si>
    <t xml:space="preserve">TISSUE SPECIFICITY: Expressed in heart, placenta, liver, skeletal muscles, and pancreas. Lower levels of expression are also detected in brain, lung and kidney. Weakly expressed in the adult brain. Expression in fetal brain is higher than in adult brain, with levels similar to several other fetal tissues including spleen and skeletal muscle. In adult brain expressed at low levels in all tissues examined, including the temporal lobe and putamen. {ECO:0000269|PubMed:15925480}.; </t>
  </si>
  <si>
    <t xml:space="preserve">unclassifiable (Anatomical System);frontal lobe;larynx;thyroid;oral cavity;pituitary gland;head and neck;brain;skeletal muscle;stomach;tonsil;</t>
  </si>
  <si>
    <t xml:space="preserve">dorsal root ganglion;superior cervical ganglion;ciliary ganglion;pons;atrioventricular node;trigeminal ganglion;</t>
  </si>
  <si>
    <t xml:space="preserve">ATP13A4-AS1</t>
  </si>
  <si>
    <t xml:space="preserve">ATP13A4 antisense RNA 1</t>
  </si>
  <si>
    <t xml:space="preserve">ATP6V1G1</t>
  </si>
  <si>
    <t xml:space="preserve">TISSUE SPECIFICITY: Ubiquitous. {ECO:0000269|PubMed:12384298}.; </t>
  </si>
  <si>
    <t xml:space="preserve">ATP8B1</t>
  </si>
  <si>
    <t xml:space="preserve">TISSUE SPECIFICITY: Found in most tissues except brain and skeletal muscle. Most abundant in pancreas and small intestine.; </t>
  </si>
  <si>
    <t xml:space="preserve">unclassifiable (Anatomical System);cartilage;ovary;lacrimal gland;urinary;colon;blood;skeletal muscle;retina;breast;uterus;lung;endometrium;epididymis;bone;thyroid;liver;testis;germinal center;mammary gland;stomach;</t>
  </si>
  <si>
    <t xml:space="preserve">superior cervical ganglion;prostate;ciliary ganglion;pons;atrioventricular node;trigeminal ganglion;parietal lobe;</t>
  </si>
  <si>
    <t xml:space="preserve">BACH2</t>
  </si>
  <si>
    <t xml:space="preserve">TISSUE SPECIFICITY: B-cell specific.; </t>
  </si>
  <si>
    <t xml:space="preserve">ovary;parathyroid;fovea centralis;choroid;skin;retina;bone marrow;uterus;prostate;optic nerve;whole body;cerebral cortex;thyroid;testis;germinal center;brain;tonsil;unclassifiable (Anatomical System);lymph node;heart;blood;lens;skeletal muscle;breast;pancreas;lung;nasopharynx;placenta;macula lutea;liver;spleen;</t>
  </si>
  <si>
    <t xml:space="preserve">dorsal root ganglion;superior cervical ganglion;fetal brain;adrenal cortex;atrioventricular node;trigeminal ganglion;skeletal muscle;</t>
  </si>
  <si>
    <t xml:space="preserve">BAHCC1</t>
  </si>
  <si>
    <t xml:space="preserve">unclassifiable (Anatomical System);uterus;lung;ovary;heart;testis;brain;skin;thymus;bone marrow;</t>
  </si>
  <si>
    <t xml:space="preserve">BAHD1</t>
  </si>
  <si>
    <t xml:space="preserve">BCAR1</t>
  </si>
  <si>
    <t xml:space="preserve">TISSUE SPECIFICITY: Widely expressed with an abundant expression in the testis. Low level of expression seen in the liver, thymus, and peripheral blood leukocytes. The protein has been detected in a B-cell line.; </t>
  </si>
  <si>
    <t xml:space="preserve">ovary;colon;parathyroid;fovea centralis;choroid;skin;retina;uterus;prostate;optic nerve;frontal lobe;endometrium;larynx;bone;iris;testis;bladder;brain;unclassifiable (Anatomical System);heart;cartilage;lacrimal gland;islets of Langerhans;pineal body;lens;skeletal muscle;pancreas;lung;placenta;macula lutea;visual apparatus;duodenum;cervix;kidney;mammary gland;stomach;</t>
  </si>
  <si>
    <t xml:space="preserve">atrioventricular node;</t>
  </si>
  <si>
    <t xml:space="preserve">BICC1</t>
  </si>
  <si>
    <t xml:space="preserve">uterus;lung;heart;kidney;skin;</t>
  </si>
  <si>
    <t xml:space="preserve">dorsal root ganglion;superior cervical ganglion;appendix;ciliary ganglion;pons;atrioventricular node;trigeminal ganglion;parietal lobe;skeletal muscle;skin;</t>
  </si>
  <si>
    <t xml:space="preserve">BICD1</t>
  </si>
  <si>
    <t xml:space="preserve">TISSUE SPECIFICITY: Expressed in the brain, heart and skeletal muscle.; </t>
  </si>
  <si>
    <t xml:space="preserve">lymphoreticular;ovary;salivary gland;colon;parathyroid;skin;retina;bone marrow;uterus;prostate;whole body;frontal lobe;thyroid;testis;germinal center;brain;bladder;unclassifiable (Anatomical System);heart;islets of Langerhans;pharynx;blood;skeletal muscle;breast;pancreas;lung;placenta;visual apparatus;liver;head and neck;cervix;kidney;mammary gland;stomach;</t>
  </si>
  <si>
    <t xml:space="preserve">subthalamic nucleus;occipital lobe;olfactory bulb;prefrontal cortex;globus pallidus;parietal lobe;cingulate cortex;</t>
  </si>
  <si>
    <t xml:space="preserve">BIRC6</t>
  </si>
  <si>
    <t xml:space="preserve">TISSUE SPECIFICITY: Expressed in brain cancer cells.; </t>
  </si>
  <si>
    <t xml:space="preserve">BLVRA</t>
  </si>
  <si>
    <t xml:space="preserve">TISSUE SPECIFICITY: Liver.; </t>
  </si>
  <si>
    <t xml:space="preserve">umbilical cord;ovary;salivary gland;colon;parathyroid;choroid;skin;retina;uterus;prostate;optic nerve;whole body;bone;testis;brain;bladder;unclassifiable (Anatomical System);lymph node;cartilage;heart;cerebellum cortex;islets of Langerhans;hypothalamus;muscle;pharynx;blood;breast;pancreas;lung;mesenchyma;nasopharynx;placenta;visual apparatus;hippocampus;alveolus;liver;spleen;kidney;mammary gland;stomach;thymus;</t>
  </si>
  <si>
    <t xml:space="preserve">superior cervical ganglion;trigeminal ganglion;</t>
  </si>
  <si>
    <t xml:space="preserve">BOD1L1</t>
  </si>
  <si>
    <t xml:space="preserve">BPIFC</t>
  </si>
  <si>
    <t xml:space="preserve">TISSUE SPECIFICITY: Detected in the basal layer of the epidermis from inflammatory skin from psoriasis patients, but not in normal skin.; </t>
  </si>
  <si>
    <t xml:space="preserve">islets of Langerhans;skin;</t>
  </si>
  <si>
    <t xml:space="preserve">BRCA2</t>
  </si>
  <si>
    <t xml:space="preserve">TISSUE SPECIFICITY: Highest levels of expression in breast and thymus, with slightly lower levels in lung, ovary and spleen.; </t>
  </si>
  <si>
    <t xml:space="preserve">BSX</t>
  </si>
  <si>
    <t xml:space="preserve">C16orf62</t>
  </si>
  <si>
    <t xml:space="preserve">medulla oblongata;ovary;sympathetic chain;colon;parathyroid;skin;retina;uterus;prostate;optic nerve;frontal lobe;endometrium;synovium;larynx;bone;thyroid;iris;testis;germinal center;spinal ganglion;brain;unclassifiable (Anatomical System);lymph node;cartilage;heart;tongue;islets of Langerhans;hypothalamus;lens;skeletal muscle;bile duct;breast;pancreas;lung;nasopharynx;placenta;visual apparatus;hypopharynx;liver;spleen;head and neck;kidney;mammary gland;stomach;thymus;</t>
  </si>
  <si>
    <t xml:space="preserve">testis - interstitial;superior cervical ganglion;testis;pons;cingulate cortex;parietal lobe;</t>
  </si>
  <si>
    <t xml:space="preserve">C18orf54</t>
  </si>
  <si>
    <t xml:space="preserve">unclassifiable (Anatomical System);hypothalamus;colon;skin;retina;bone marrow;uterus;lung;endometrium;placenta;bone;liver;testis;germinal center;</t>
  </si>
  <si>
    <t xml:space="preserve">C1QTNF1</t>
  </si>
  <si>
    <t xml:space="preserve">smooth muscle;ovary;salivary gland;colon;parathyroid;fovea centralis;choroid;skin;retina;uterus;prostate;optic nerve;frontal lobe;endometrium;bone;thyroid;testis;brain;artery;bladder;pineal gland;unclassifiable (Anatomical System);cartilage;heart;muscle;urinary;adrenal cortex;lens;skeletal muscle;pancreas;lung;placenta;macula lutea;liver;spleen;kidney;mammary gland;stomach;aorta;peripheral nerve;cerebellum;</t>
  </si>
  <si>
    <t xml:space="preserve">dorsal root ganglion;superior cervical ganglion;placenta;ciliary ganglion;atrioventricular node;trigeminal ganglion;skeletal muscle;</t>
  </si>
  <si>
    <t xml:space="preserve">C1orf167</t>
  </si>
  <si>
    <t xml:space="preserve">unclassifiable (Anatomical System);prostate;lung;ovary;larynx;placenta;visual apparatus;testis;choroid;germinal center;brain;</t>
  </si>
  <si>
    <t xml:space="preserve">C1orf50</t>
  </si>
  <si>
    <t xml:space="preserve">C2orf70</t>
  </si>
  <si>
    <t xml:space="preserve">unclassifiable (Anatomical System);lung;testis;colon;</t>
  </si>
  <si>
    <t xml:space="preserve">skeletal muscle;</t>
  </si>
  <si>
    <t xml:space="preserve">C3orf38</t>
  </si>
  <si>
    <t xml:space="preserve">lymphoreticular;medulla oblongata;ovary;fovea centralis;choroid;skin;retina;uterus;prostate;optic nerve;whole body;endometrium;larynx;thyroid;testis;germinal center;brain;bladder;unclassifiable (Anatomical System);lymph node;heart;tongue;islets of Langerhans;lens;bile duct;lung;placenta;macula lutea;hippocampus;liver;spleen;head and neck;kidney;stomach;</t>
  </si>
  <si>
    <t xml:space="preserve">dorsal root ganglion;testis - interstitial;superior cervical ganglion;testis;atrioventricular node;skeletal muscle;</t>
  </si>
  <si>
    <t xml:space="preserve">C4orf50</t>
  </si>
  <si>
    <t xml:space="preserve">frontal lobe;kidney;brain;</t>
  </si>
  <si>
    <t xml:space="preserve">C8B</t>
  </si>
  <si>
    <t xml:space="preserve">C9orf131</t>
  </si>
  <si>
    <t xml:space="preserve">lymphoreticular;smooth muscle;rectum;colon;fovea centralis;choroid;skin;retina;bone marrow;uterus;prostate;optic nerve;whole body;frontal lobe;endometrium;larynx;thyroid;testis;germinal center;spinal ganglion;brain;amygdala;unclassifiable (Anatomical System);heart;lacrimal gland;islets of Langerhans;oral cavity;muscle;blood;lens;breast;pancreas;lung;nasopharynx;placenta;macula lutea;visual apparatus;hypopharynx;liver;spleen;head and neck;cervix;kidney;mammary gland;stomach;peripheral nerve;</t>
  </si>
  <si>
    <t xml:space="preserve">dorsal root ganglion;testis - interstitial;testis - seminiferous tubule;testis;</t>
  </si>
  <si>
    <t xml:space="preserve">C9orf135</t>
  </si>
  <si>
    <t xml:space="preserve">CABP1</t>
  </si>
  <si>
    <t xml:space="preserve">TISSUE SPECIFICITY: Retina and brain. Somatodendritic compartment of neurons. Calbrain was found exclusively in brain where it is abundant in the hippocampus, habenular area in the epithalamus and in the cerebellum.; </t>
  </si>
  <si>
    <t xml:space="preserve">unclassifiable (Anatomical System);hypothalamus;pineal body;colon;fovea centralis;choroid;lens;retina;optic nerve;lung;frontal lobe;macula lutea;testis;kidney;pineal gland;brain;</t>
  </si>
  <si>
    <t xml:space="preserve">amygdala;whole brain;occipital lobe;medulla oblongata;temporal lobe;pons;atrioventricular node;subthalamic nucleus;prefrontal cortex;globus pallidus;ciliary ganglion;trigeminal ganglion;cingulate cortex;parietal lobe;</t>
  </si>
  <si>
    <t xml:space="preserve">CALCOCO1</t>
  </si>
  <si>
    <t xml:space="preserve">myocardium;smooth muscle;ovary;sympathetic chain;skin;retina;bone marrow;prostate;optic nerve;frontal lobe;endometrium;thyroid;iris;amniotic fluid;germinal center;brain;heart;cartilage;adrenal cortex;blood;lens;skeletal muscle;breast;epididymis;macula lutea;liver;spleen;cervix;mammary gland;colon;parathyroid;fovea centralis;choroid;uterus;whole body;larynx;bone;testis;spinal ganglion;unclassifiable (Anatomical System);lymph node;cerebellum cortex;lacrimal gland;islets of Langerhans;hypothalamus;bile duct;pancreas;lung;mesenchyma;placenta;hippocampus;duodenum;head and neck;kidney;stomach;aorta;thymus;cerebellum;</t>
  </si>
  <si>
    <t xml:space="preserve">CAPN15</t>
  </si>
  <si>
    <t xml:space="preserve">TISSUE SPECIFICITY: Widely expressed with higher expression in brain. {ECO:0000269|PubMed:9722942}.; </t>
  </si>
  <si>
    <t xml:space="preserve">CARD11</t>
  </si>
  <si>
    <t xml:space="preserve">TISSUE SPECIFICITY: Detected in adult peripheral blood leukocytes, thymus, spleen and liver. Also found in promyelocytic leukemia HL- 60 cells, chronic myelogenous leukemia K-562 cells, Burkitt's lymphoma Raji cells and colorectal adenocarcinoma SW480 cells. Not detected in HeLaS3, MOLT-4, A-549 and G431 cells. {ECO:0000269|PubMed:11278692}.; </t>
  </si>
  <si>
    <t xml:space="preserve">lymphoreticular;ovary;parathyroid;skin;uterus;prostate;cerebral cortex;thyroid;testis;germinal center;bladder;brain;tonsil;unclassifiable (Anatomical System);lymph node;heart;cartilage;blood;pancreas;lung;nasopharynx;placenta;hypopharynx;head and neck;stomach;thymus;</t>
  </si>
  <si>
    <t xml:space="preserve">white blood cells;</t>
  </si>
  <si>
    <t xml:space="preserve">CASC3</t>
  </si>
  <si>
    <t xml:space="preserve">TISSUE SPECIFICITY: Widely expressed. Overexpressed in breast cancers and metastasis, as well as in gastric cancers. {ECO:0000269|PubMed:12080473}.; </t>
  </si>
  <si>
    <t xml:space="preserve">medulla oblongata;ovary;skin;retina;bone marrow;prostate;optic nerve;frontal lobe;endometrium;thyroid;amniotic fluid;germinal center;bladder;brain;amygdala;heart;cartilage;tongue;pineal body;urinary;adrenal cortex;blood;lens;skeletal muscle;breast;macula lutea;visual apparatus;liver;alveolus;spleen;cervix;mammary gland;colon;parathyroid;fovea centralis;choroid;uterus;whole body;larynx;bone;testis;spinal ganglion;pineal gland;unclassifiable (Anatomical System);lymph node;islets of Langerhans;muscle;pancreas;lung;nasopharynx;placenta;hippocampus;amnion;head and neck;kidney;stomach;aorta;cerebellum;thymus;</t>
  </si>
  <si>
    <t xml:space="preserve">parietal lobe;</t>
  </si>
  <si>
    <t xml:space="preserve">CASC4</t>
  </si>
  <si>
    <t xml:space="preserve">smooth muscle;ovary;sympathetic chain;skin;retina;prostate;optic nerve;frontal lobe;endometrium;thyroid;germinal center;bladder;brain;amygdala;heart;tongue;pineal body;adrenal cortex;pharynx;blood;lens;skeletal muscle;breast;visual apparatus;macula lutea;liver;spleen;cervix;salivary gland;intestine;colon;parathyroid;fovea centralis;choroid;uterus;whole body;larynx;pituitary gland;testis;pineal gland;unclassifiable (Anatomical System);lymph node;islets of Langerhans;lung;adrenal gland;nasopharynx;placenta;hippocampus;amnion;head and neck;kidney;stomach;aorta;cerebellum;</t>
  </si>
  <si>
    <t xml:space="preserve">occipital lobe;superior cervical ganglion;testis - seminiferous tubule;ciliary ganglion;atrioventricular node;skeletal muscle;</t>
  </si>
  <si>
    <t xml:space="preserve">CATIP</t>
  </si>
  <si>
    <t xml:space="preserve">TISSUE SPECIFICITY: Strongly expressed in round and elongating spermatids, weakly in pachytene spermatocytes. Expressed in Leydig cells (at protein level). Expressed in testis, placenta, prostate and lung, and moderately in ovary and brain. {ECO:0000269|PubMed:24475127}.; </t>
  </si>
  <si>
    <t xml:space="preserve">CBFA2T3</t>
  </si>
  <si>
    <t xml:space="preserve">TISSUE SPECIFICITY: Widely expressed with higher expression in heart, pancreas, skeletal muscle, spleen, thymus and peripheral blood leukocytes. Expressed in hematopoietic cells (at protein level). {ECO:0000269|PubMed:15231665, ECO:0000269|PubMed:9596646, ECO:0000269|PubMed:9790752}.; </t>
  </si>
  <si>
    <t xml:space="preserve">lymphoreticular;ovary;colon;fovea centralis;choroid;bone marrow;retina;optic nerve;testis;germinal center;brain;ciliary body;unclassifiable (Anatomical System);lymph node;blood;lens;bile duct;pancreas;lung;placenta;visual apparatus;macula lutea;liver;spleen;cervix;stomach;cerebellum;</t>
  </si>
  <si>
    <t xml:space="preserve">CCDC180</t>
  </si>
  <si>
    <t xml:space="preserve">CCDC191</t>
  </si>
  <si>
    <t xml:space="preserve">CCDC39</t>
  </si>
  <si>
    <t xml:space="preserve">TISSUE SPECIFICITY: Mainly expressed in nasal brushings and, to a lesser extent, in lungs and testis. {ECO:0000269|PubMed:21131972}.; </t>
  </si>
  <si>
    <t xml:space="preserve">testis;</t>
  </si>
  <si>
    <t xml:space="preserve">CCDC60</t>
  </si>
  <si>
    <t xml:space="preserve">optic nerve;lung;hypothalamus;macula lutea;visual apparatus;testis;fovea centralis;choroid;lens;retina;</t>
  </si>
  <si>
    <t xml:space="preserve">CCHCR1</t>
  </si>
  <si>
    <t xml:space="preserve">TISSUE SPECIFICITY: Found in all tissues tested, abundantly expressed in heart, liver, skeletal muscle, kidney and pancreas, and to a lesser extent in lung and placenta. Overexpressed in keratinocytes of psoriatic lesions.; </t>
  </si>
  <si>
    <t xml:space="preserve">CD3EAP</t>
  </si>
  <si>
    <t xml:space="preserve">ovary;colon;skin;bone marrow;uterus;prostate;frontal lobe;larynx;bone;testis;brain;bladder;unclassifiable (Anatomical System);heart;cartilage;lacrimal gland;islets of Langerhans;adrenal cortex;blood;skeletal muscle;breast;pancreas;lung;placenta;visual apparatus;liver;head and neck;kidney;mammary gland;stomach;</t>
  </si>
  <si>
    <t xml:space="preserve">dorsal root ganglion;superior cervical ganglion;globus pallidus;atrioventricular node;trigeminal ganglion;skeletal muscle;skin;</t>
  </si>
  <si>
    <t xml:space="preserve">CDC42EP1</t>
  </si>
  <si>
    <t xml:space="preserve">TISSUE SPECIFICITY: Endothelial and bone marrow stromal cells.; </t>
  </si>
  <si>
    <t xml:space="preserve">unclassifiable (Anatomical System);lymph node;cartilage;ovary;islets of Langerhans;salivary gland;muscle;colon;choroid;skin;bone marrow;uterus;pancreas;prostate;lung;bone;visual apparatus;testis;spleen;brain;mammary gland;stomach;</t>
  </si>
  <si>
    <t xml:space="preserve">CDH3</t>
  </si>
  <si>
    <t xml:space="preserve">TISSUE SPECIFICITY: Expressed in some normal epithelial tissues and in some carcinoma cell lines. {ECO:0000269|PubMed:2702654}.; </t>
  </si>
  <si>
    <t xml:space="preserve">ovary;colon;fovea centralis;choroid;skin;retina;uterus;prostate;optic nerve;whole body;endometrium;larynx;gum;thyroid;pituitary gland;testis;brain;bladder;unclassifiable (Anatomical System);heart;islets of Langerhans;lens;skeletal muscle;breast;pancreas;lung;placenta;macula lutea;liver;head and neck;kidney;mammary gland;stomach;</t>
  </si>
  <si>
    <t xml:space="preserve">lung;thymus;</t>
  </si>
  <si>
    <t xml:space="preserve">CDHR4</t>
  </si>
  <si>
    <t xml:space="preserve">lung;</t>
  </si>
  <si>
    <t xml:space="preserve">CDHR5</t>
  </si>
  <si>
    <t xml:space="preserve">TISSUE SPECIFICITY: Highest expression in kidney, liver, colon and small intestine. In kidney, expressed apically along brush border of proximal convoluted tubule but not in cortical collecting ducts. Isoform 1 is expressed primarily in adult small intestine and colon. Isoform 2 is highly expressed in fetal liver. {ECO:0000269|PubMed:12167596}.; </t>
  </si>
  <si>
    <t xml:space="preserve">unclassifiable (Anatomical System);small intestine;colon;fovea centralis;choroid;lens;retina;breast;pancreas;optic nerve;placenta;macula lutea;liver;spleen;kidney;bladder;stomach;</t>
  </si>
  <si>
    <t xml:space="preserve">fetal liver;uterus corpus;superior cervical ganglion;liver;globus pallidus;appendix;ciliary ganglion;kidney;atrioventricular node;trigeminal ganglion;skeletal muscle;</t>
  </si>
  <si>
    <t xml:space="preserve">CDK11A</t>
  </si>
  <si>
    <t xml:space="preserve">TISSUE SPECIFICITY: Expressed ubiquitously. Some evidence of isoform-specific tissue distribution. {ECO:0000269|PubMed:8195233, ECO:0000269|PubMed:9750192}.; </t>
  </si>
  <si>
    <t xml:space="preserve">lymphoreticular;ovary;foreskin;colon;skin;retina;bone marrow;uterus;prostate;cerebral cortex;endometrium;larynx;bone;thyroid;testis;germinal center;brain;bladder;gall bladder;tonsil;unclassifiable (Anatomical System);lymph node;cartilage;heart;epidermis;tongue;islets of Langerhans;blood;skeletal muscle;breast;bile duct;pancreas;lung;epididymis;nasopharynx;placenta;visual apparatus;amnion;duodenum;liver;spleen;head and neck;cervix;kidney;mammary gland;stomach;thymus;</t>
  </si>
  <si>
    <t xml:space="preserve">superior cervical ganglion;testis - interstitial;testis - seminiferous tubule;heart;testis;white blood cells;trigeminal ganglion;skeletal muscle;parietal lobe;</t>
  </si>
  <si>
    <t xml:space="preserve">CDSN</t>
  </si>
  <si>
    <t xml:space="preserve">TISSUE SPECIFICITY: Exclusively expressed in skin.; </t>
  </si>
  <si>
    <t xml:space="preserve">CDV3</t>
  </si>
  <si>
    <t xml:space="preserve">TISSUE SPECIFICITY: Expression levels correlate with those of HER- 2/neu in breast cancer cells. {ECO:0000269|PubMed:10497265}.; </t>
  </si>
  <si>
    <t xml:space="preserve">smooth muscle;ovary;sympathetic chain;skin;retina;bone marrow;prostate;optic nerve;endometrium;thyroid;amniotic fluid;germinal center;brain;bladder;tonsil;heart;cartilage;tongue;urinary;adrenal cortex;pharynx;blood;lens;skeletal muscle;breast;macula lutea;visual apparatus;liver;spleen;cervix;mammary gland;salivary gland;developmental;intestine;colon;parathyroid;fovea centralis;choroid;uterus;whole body;cerebral cortex;larynx;bone;pituitary gland;testis;artery;pineal gland;unclassifiable (Anatomical System);lymph node;islets of Langerhans;bile duct;pancreas;lung;cornea;adrenal gland;nasopharynx;placenta;head and neck;kidney;stomach;aorta;thymus;</t>
  </si>
  <si>
    <t xml:space="preserve">superior cervical ganglion;subthalamic nucleus;testis - interstitial;testis - seminiferous tubule;testis;white blood cells;ciliary ganglion;skeletal muscle;</t>
  </si>
  <si>
    <t xml:space="preserve">CEP120</t>
  </si>
  <si>
    <t xml:space="preserve">unclassifiable (Anatomical System);uterus;lymphoreticular;lung;cartilage;placenta;testis;germinal center;skeletal muscle;retina;</t>
  </si>
  <si>
    <t xml:space="preserve">CEP164</t>
  </si>
  <si>
    <t xml:space="preserve">TISSUE SPECIFICITY: Expressed in several cell lines. {ECO:0000269|PubMed:17954613}.; </t>
  </si>
  <si>
    <t xml:space="preserve">smooth muscle;colon;fovea centralis;choroid;skin;retina;bone marrow;uterus;prostate;optic nerve;frontal lobe;endometrium;bone;testis;germinal center;brain;unclassifiable (Anatomical System);lymph node;heart;cartilage;islets of Langerhans;pharynx;blood;lens;skeletal muscle;lung;macula lutea;liver;spleen;kidney;stomach;peripheral nerve;</t>
  </si>
  <si>
    <t xml:space="preserve">dorsal root ganglion;superior cervical ganglion;testis - interstitial;testis;ciliary ganglion;</t>
  </si>
  <si>
    <t xml:space="preserve">CEP63</t>
  </si>
  <si>
    <t xml:space="preserve">8.50276907222801e-21</t>
  </si>
  <si>
    <t xml:space="preserve">centrosomal protein 63kDa</t>
  </si>
  <si>
    <t xml:space="preserve">FUNCTION: Required for normal spindle assembly. Plays a key role in mother-centriole-dependent centriole duplication; the function seems also to involve CEP152, CDK5RAP2 and WDR62 through a stepwise assembled complex at the centrosome that recruits CDK2 required for centriole duplication. Reported to be required for centrosomal recruitment of CEP152; however, this function has been questioned (PubMed:21983783, PubMed:26297806). Also recruits CDK1 to centrosomes (PubMed:21406398). Plays a role in DNA damage response. Following DNA damage, such as double-strand breaks (DSBs), is removed from centrosomes; this leads to the inactivation of spindle assembly and delay in mitotic progression (PubMed:21406398). {ECO:0000269|PubMed:21406398, ECO:0000269|PubMed:21983783, ECO:0000269|PubMed:26297806}.; </t>
  </si>
  <si>
    <t xml:space="preserve">ovary;salivary gland;intestine;colon;parathyroid;skin;bone marrow;uterus;prostate;whole body;frontal lobe;oesophagus;larynx;bone;thyroid;iris;testis;dura mater;brain;artery;bladder;unclassifiable (Anatomical System);meninges;lymph node;cartilage;heart;islets of Langerhans;hypothalamus;pharynx;blood;lens;skeletal muscle;breast;bile duct;pancreas;pia mater;lung;cornea;adrenal gland;nasopharynx;placenta;visual apparatus;alveolus;liver;cervix;spleen;head and neck;kidney;mammary gland;aorta;stomach;thymus;</t>
  </si>
  <si>
    <t xml:space="preserve">dorsal root ganglion;testis - interstitial;superior cervical ganglion;medulla oblongata;pons;atrioventricular node;skeletal muscle;testis - seminiferous tubule;testis;globus pallidus;ciliary ganglion;whole blood;trigeminal ganglion;parietal lobe;</t>
  </si>
  <si>
    <t xml:space="preserve">CETN3</t>
  </si>
  <si>
    <t xml:space="preserve">ovary;salivary gland;intestine;colon;parathyroid;fovea centralis;choroid;skin;retina;bone marrow;uterus;prostate;optic nerve;whole body;cochlea;endometrium;bone;thyroid;pituitary gland;testis;germinal center;brain;pineal gland;artery;bladder;unclassifiable (Anatomical System);lymph node;islets of Langerhans;hypothalamus;adrenal cortex;pharynx;blood;lens;skeletal muscle;breast;bile duct;lung;cornea;adrenal gland;placenta;macula lutea;visual apparatus;hypopharynx;liver;head and neck;kidney;mammary gland;aorta;stomach;</t>
  </si>
  <si>
    <t xml:space="preserve">testis - interstitial;testis - seminiferous tubule;testis;trigeminal ganglion;</t>
  </si>
  <si>
    <t xml:space="preserve">CFAP100</t>
  </si>
  <si>
    <t xml:space="preserve">CHD6</t>
  </si>
  <si>
    <t xml:space="preserve">TISSUE SPECIFICITY: Widely expressed.; </t>
  </si>
  <si>
    <t xml:space="preserve">unclassifiable (Anatomical System);cartilage;colon;blood;skeletal muscle;bone marrow;lung;thyroid;bone;hypopharynx;liver;head and neck;brain;mammary gland;stomach;</t>
  </si>
  <si>
    <t xml:space="preserve">subthalamic nucleus;superior cervical ganglion;testis;globus pallidus;ciliary ganglion;atrioventricular node;pons;trigeminal ganglion;cingulate cortex;skeletal muscle;</t>
  </si>
  <si>
    <t xml:space="preserve">CLSTN1</t>
  </si>
  <si>
    <t xml:space="preserve">TISSUE SPECIFICITY: Expressed in the brain and, a lower level, in the heart, skeletal muscle, kidney and placenta. Accumulates in dystrophic neurites around the amyloid core of Alzheimer disease senile plaques (at protein level). {ECO:0000269|PubMed:12498782, ECO:0000269|PubMed:12972431}.; </t>
  </si>
  <si>
    <t xml:space="preserve">lymphoreticular;ovary;sympathetic chain;skin;retina;prostate;optic nerve;frontal lobe;cochlea;endometrium;thyroid;germinal center;bladder;brain;amygdala;heart;cartilage;pharynx;blood;lens;skeletal muscle;breast;macula lutea;visual apparatus;liver;spleen;mammary gland;salivary gland;intestine;colon;parathyroid;fovea centralis;choroid;vein;uterus;whole body;cerebral cortex;larynx;bone;pituitary gland;testis;dura mater;pineal gland;unclassifiable (Anatomical System);meninges;lymph node;islets of Langerhans;muscle;bile duct;pancreas;pia mater;lung;adrenal gland;placenta;head and neck;kidney;stomach;thymus;cerebellum;</t>
  </si>
  <si>
    <t xml:space="preserve">whole brain;amygdala;occipital lobe;thalamus;medulla oblongata;cerebellum peduncles;temporal lobe;caudate nucleus;pons;subthalamic nucleus;prefrontal cortex;globus pallidus;cingulate cortex;parietal lobe;cerebellum;</t>
  </si>
  <si>
    <t xml:space="preserve">CLU</t>
  </si>
  <si>
    <t xml:space="preserve">TISSUE SPECIFICITY: Detected in blood plasma, cerebrospinal fluid, milk, seminal plasma and colon mucosa. Detected in the germinal center of colon lymphoid nodules and in colon parasympathetic ganglia of the Auerbach plexus (at protein level). Ubiquitous. Detected in brain, testis, ovary, liver and pancreas, and at lower levels in kidney, heart, spleen and lung. {ECO:0000269|PubMed:11123922, ECO:0000269|PubMed:17260971, ECO:0000269|PubMed:17322305, ECO:0000269|PubMed:17412999, ECO:0000269|PubMed:1974459, ECO:0000269|PubMed:2387851, ECO:0000269|PubMed:2780565, ECO:0000269|PubMed:3154963, ECO:0000269|PubMed:8181474, ECO:0000269|PubMed:8292612, ECO:0000269|PubMed:8328966}.; </t>
  </si>
  <si>
    <t xml:space="preserve">smooth muscle;ovary;colon;parathyroid;fovea centralis;choroid;vein;retina;uterus;prostate;optic nerve;whole body;frontal lobe;endometrium;bone;testis;spinal ganglion;brain;pineal gland;unclassifiable (Anatomical System);lymph node;cartilage;small intestine;heart;islets of Langerhans;adrenal cortex;lens;lung;nasopharynx;placenta;macula lutea;visual apparatus;liver;spleen;kidney;mammary gland;stomach;aorta;peripheral nerve;</t>
  </si>
  <si>
    <t xml:space="preserve">dorsal root ganglion;amygdala;uterus corpus;superior cervical ganglion;olfactory bulb;trachea;spinal cord;prefrontal cortex;liver;testis;ciliary ganglion;atrioventricular node;trigeminal ganglion;</t>
  </si>
  <si>
    <t xml:space="preserve">CNTN3</t>
  </si>
  <si>
    <t xml:space="preserve">TISSUE SPECIFICITY: In brain, it is expressed in frontal lobe, occipital lobe, cerebellum and amygdala. {ECO:0000269|PubMed:11013081}.; </t>
  </si>
  <si>
    <t xml:space="preserve">unclassifiable (Anatomical System);prostate;lung;endometrium;hypothalamus;pituitary gland;kidney;brain;aorta;</t>
  </si>
  <si>
    <t xml:space="preserve">superior cervical ganglion;atrioventricular node;</t>
  </si>
  <si>
    <t xml:space="preserve">COBL</t>
  </si>
  <si>
    <t xml:space="preserve">ovary;colon;parathyroid;fovea centralis;choroid;retina;uterus;prostate;optic nerve;whole body;frontal lobe;cochlea;endometrium;cerebral cortex;thyroid;testis;spinal ganglion;brain;unclassifiable (Anatomical System);heart;islets of Langerhans;lens;skeletal muscle;breast;pancreas;lung;placenta;macula lutea;liver;spleen;cervix;kidney;mammary gland;cerebellum;</t>
  </si>
  <si>
    <t xml:space="preserve">amygdala;whole brain;occipital lobe;thalamus;medulla oblongata;cerebellum peduncles;hypothalamus;spinal cord;temporal lobe;pons;caudate nucleus;subthalamic nucleus;prefrontal cortex;globus pallidus;parietal lobe;cingulate cortex;cerebellum;</t>
  </si>
  <si>
    <t xml:space="preserve">COL25A1</t>
  </si>
  <si>
    <t xml:space="preserve">TISSUE SPECIFICITY: Expressed predominantly in brain. Deposited preferentially in primitive or neuritic amyloid plaques which are typical of Alzheimer disease. {ECO:0000269|PubMed:11927537}.; </t>
  </si>
  <si>
    <t xml:space="preserve">unclassifiable (Anatomical System);lung;testis;</t>
  </si>
  <si>
    <t xml:space="preserve">COQ4</t>
  </si>
  <si>
    <t xml:space="preserve">TISSUE SPECIFICITY: Expressed ubiquitously, but at high levels in liver, lung and pancreas. {ECO:0000269|PubMed:18474229}.; </t>
  </si>
  <si>
    <t xml:space="preserve">ovary;salivary gland;intestine;colon;parathyroid;skin;retina;uterus;prostate;optic nerve;whole body;frontal lobe;cochlea;endometrium;bone;thyroid;pituitary gland;testis;germinal center;brain;pineal gland;unclassifiable (Anatomical System);lymph node;trophoblast;cartilage;heart;hypothalamus;pharynx;blood;skeletal muscle;bile duct;pancreas;lung;cornea;placenta;visual apparatus;liver;spleen;cervix;kidney;mammary gland;stomach;peripheral nerve;</t>
  </si>
  <si>
    <t xml:space="preserve">thyroid;liver;</t>
  </si>
  <si>
    <t xml:space="preserve">COX6B2</t>
  </si>
  <si>
    <t xml:space="preserve">TISSUE SPECIFICITY: Testis specific. Weak expression in thymus and heart. Expressed in cancer cell lines. {ECO:0000269|PubMed:12874793, ECO:0000269|PubMed:15905330}.; </t>
  </si>
  <si>
    <t xml:space="preserve">medulla oblongata;pancreas;pharynx;blood;</t>
  </si>
  <si>
    <t xml:space="preserve">CP</t>
  </si>
  <si>
    <t xml:space="preserve">ovary;fovea centralis;choroid;bone marrow;retina;uterus;prostate;optic nerve;whole body;endometrium;testis;brain;gall bladder;unclassifiable (Anatomical System);cartilage;lacrimal gland;hypothalamus;blood;lens;skeletal muscle;breast;lung;trabecular meshwork;macula lutea;visual apparatus;liver;spleen;kidney;stomach;</t>
  </si>
  <si>
    <t xml:space="preserve">fetal liver;appendix;ciliary ganglion;atrioventricular node;trigeminal ganglion;</t>
  </si>
  <si>
    <t xml:space="preserve">CPA2</t>
  </si>
  <si>
    <t xml:space="preserve">unclassifiable (Anatomical System);pancreas;lung;islets of Langerhans;liver;colon;spleen;kidney;brain;stomach;</t>
  </si>
  <si>
    <t xml:space="preserve">dorsal root ganglion;pancreas;superior cervical ganglion;beta cell islets;ciliary ganglion;atrioventricular node;trigeminal ganglion;skeletal muscle;</t>
  </si>
  <si>
    <t xml:space="preserve">CPB1</t>
  </si>
  <si>
    <t xml:space="preserve">TISSUE SPECIFICITY: Pancreas. {ECO:0000269|PubMed:2920728}.; </t>
  </si>
  <si>
    <t xml:space="preserve">unclassifiable (Anatomical System);breast;pancreas;lung;islets of Langerhans;placenta;liver;spleen;mammary gland;</t>
  </si>
  <si>
    <t xml:space="preserve">dorsal root ganglion;pancreas;superior cervical ganglion;adrenal gland;beta cell islets;adrenal cortex;atrioventricular node;trigeminal ganglion;</t>
  </si>
  <si>
    <t xml:space="preserve">CPNE7</t>
  </si>
  <si>
    <t xml:space="preserve">TISSUE SPECIFICITY: Expressed in the brain, testis, thymus and small intestine (PubMed:10534407, PubMed:12949241). {ECO:0000269|PubMed:10534407, ECO:0000269|PubMed:12949241}.; </t>
  </si>
  <si>
    <t xml:space="preserve">unclassifiable (Anatomical System);cartilage;colon;fovea centralis;choroid;lens;retina;prostate;optic nerve;lung;frontal lobe;placenta;bone;macula lutea;testis;brain;stomach;</t>
  </si>
  <si>
    <t xml:space="preserve">dorsal root ganglion;superior cervical ganglion;subthalamic nucleus;globus pallidus;atrioventricular node;trigeminal ganglion;cingulate cortex;skeletal muscle;</t>
  </si>
  <si>
    <t xml:space="preserve">CPSF1</t>
  </si>
  <si>
    <t xml:space="preserve">ovary;skin;retina;bone marrow;prostate;optic nerve;frontal lobe;endometrium;thyroid;amniotic fluid;germinal center;brain;heart;cartilage;tongue;urinary;pharynx;blood;lens;skeletal muscle;breast;macula lutea;visual apparatus;liver;alveolus;spleen;mammary gland;peripheral nerve;salivary gland;intestine;colon;parathyroid;fovea centralis;choroid;uterus;whole body;oesophagus;larynx;synovium;bone;testis;unclassifiable (Anatomical System);lymph node;islets of Langerhans;muscle;pancreas;lung;cornea;placenta;hippocampus;head and neck;kidney;stomach;thymus;</t>
  </si>
  <si>
    <t xml:space="preserve">dorsal root ganglion;superior cervical ganglion;trigeminal ganglion;skeletal muscle;</t>
  </si>
  <si>
    <t xml:space="preserve">CREBBP</t>
  </si>
  <si>
    <t xml:space="preserve">smooth muscle;ovary;colon;parathyroid;fovea centralis;choroid;skin;retina;bone marrow;uterus;prostate;optic nerve;whole body;frontal lobe;cochlea;larynx;thyroid;testis;germinal center;brain;unclassifiable (Anatomical System);lymph node;cartilage;heart;tongue;islets of Langerhans;urinary;adrenal cortex;blood;lens;skeletal muscle;breast;pancreas;lung;nasopharynx;trabecular meshwork;placenta;macula lutea;visual apparatus;hippocampus;amnion;hypopharynx;liver;spleen;head and neck;kidney;mammary gland;aorta;stomach;thymus;</t>
  </si>
  <si>
    <t xml:space="preserve">medulla oblongata;skeletal muscle;cerebellum;</t>
  </si>
  <si>
    <t xml:space="preserve">CRIPAK</t>
  </si>
  <si>
    <t xml:space="preserve">TISSUE SPECIFICITY: Widely expressed with a highest expression observed in trachea, prostate and adrenal glands. Expressed in many cancer cell lines including breast cancer cells. {ECO:0000269|PubMed:16278681}.; </t>
  </si>
  <si>
    <t xml:space="preserve">heart;ovary;blood;skin;uterus;pancreas;lung;endometrium;bone;visual apparatus;liver;pituitary gland;testis;spleen;brain;stomach;</t>
  </si>
  <si>
    <t xml:space="preserve">CRYAA</t>
  </si>
  <si>
    <t xml:space="preserve">TISSUE SPECIFICITY: Expressed in eye lens. {ECO:0000269|PubMed:12356833}.; </t>
  </si>
  <si>
    <t xml:space="preserve">unclassifiable (Anatomical System);colon;fovea centralis;choroid;lens;retina;optic nerve;whole body;visual apparatus;macula lutea;liver;iris;kidney;stomach;thymus;</t>
  </si>
  <si>
    <t xml:space="preserve">superior cervical ganglion;kidney;atrioventricular node;</t>
  </si>
  <si>
    <t xml:space="preserve">CSMD3</t>
  </si>
  <si>
    <t xml:space="preserve">TISSUE SPECIFICITY: Weakly expressed in most tissues, except in brain. Expressed at intermediate level in brain, including cerebellum, substantia nigra, thalamus, spinal cord, hippocampus and fetal brain. Also expressed in testis. {ECO:0000269|PubMed:11572484, ECO:0000269|PubMed:12943675}.; </t>
  </si>
  <si>
    <t xml:space="preserve">unclassifiable (Anatomical System);optic nerve;lung;whole body;placenta;macula lutea;liver;testis;spleen;fovea centralis;choroid;lens;brain;retina;</t>
  </si>
  <si>
    <t xml:space="preserve">dorsal root ganglion;superior cervical ganglion;subthalamic nucleus;cerebellum peduncles;temporal lobe;prefrontal cortex;globus pallidus;ciliary ganglion;atrioventricular node;trigeminal ganglion;skeletal muscle;parietal lobe;cingulate cortex;</t>
  </si>
  <si>
    <t xml:space="preserve">CTBP2</t>
  </si>
  <si>
    <t xml:space="preserve">TISSUE SPECIFICITY: Ubiquitous. Highest levels in heart, skeletal muscle, and pancreas.; </t>
  </si>
  <si>
    <t xml:space="preserve">ovary;skin;retina;bone marrow;prostate;optic nerve;endometrium;thyroid;germinal center;bladder;brain;heart;cartilage;tongue;adrenal cortex;pharynx;blood;lens;breast;trabecular meshwork;macula lutea;visual apparatus;liver;spleen;cervix;mammary gland;salivary gland;intestine;colon;parathyroid;fovea centralis;choroid;vein;uterus;whole body;oesophagus;cerebral cortex;larynx;synovium;bone;testis;unclassifiable (Anatomical System);lacrimal gland;islets of Langerhans;hypothalamus;muscle;pancreas;lung;adrenal gland;placenta;head and neck;kidney;stomach;cerebellum;</t>
  </si>
  <si>
    <t xml:space="preserve">superior cervical ganglion;ciliary ganglion;trigeminal ganglion;skeletal muscle;</t>
  </si>
  <si>
    <t xml:space="preserve">CTDSP2</t>
  </si>
  <si>
    <t xml:space="preserve">TISSUE SPECIFICITY: Expression is restricted to non-neuronal tissues. Highest expression in pancreas and lowest in liver. {ECO:0000269|PubMed:15681389}.; </t>
  </si>
  <si>
    <t xml:space="preserve">CUBN</t>
  </si>
  <si>
    <t xml:space="preserve">TISSUE SPECIFICITY: Expressed in kidney proximal tubule cells, placenta, visceral yolk-sac cells and in absorptive intestinal cells. Expressed in the epithelium of intestine and kidney.; </t>
  </si>
  <si>
    <t xml:space="preserve">CXCR2</t>
  </si>
  <si>
    <t xml:space="preserve">unclassifiable (Anatomical System);lung;nasopharynx;bone;placenta;colon;spleen;thymus;</t>
  </si>
  <si>
    <t xml:space="preserve">superior cervical ganglion;ciliary ganglion;trigeminal ganglion;whole blood;</t>
  </si>
  <si>
    <t xml:space="preserve">CYP4B1</t>
  </si>
  <si>
    <t xml:space="preserve">TISSUE SPECIFICITY: Detected in the liver and lung (at protein level). {ECO:0000269|PubMed:12695542}.; </t>
  </si>
  <si>
    <t xml:space="preserve">unclassifiable (Anatomical System);heart;ovary;cartilage;skin;retina;uterus;prostate;lung;cerebral cortex;nasopharynx;placenta;testis;spinal ganglion;bladder;brain;</t>
  </si>
  <si>
    <t xml:space="preserve">dorsal root ganglion;trachea;atrioventricular node;trigeminal ganglion;</t>
  </si>
  <si>
    <t xml:space="preserve">DBN1</t>
  </si>
  <si>
    <t xml:space="preserve">TISSUE SPECIFICITY: Brain neurons. Also found in the heart, placenta, skeletal muscle, kidney and pancreas. Expressed in peripheral blood lymphocytes, including T-cells (at protein level). {ECO:0000269|PubMed:20215400}.; </t>
  </si>
  <si>
    <t xml:space="preserve">lymphoreticular;medulla oblongata;ovary;colon;fovea centralis;choroid;vein;skin;retina;uterus;optic nerve;endometrium;larynx;thyroid;bone;testis;amniotic fluid;brain;bladder;unclassifiable (Anatomical System);heart;cartilage;lacrimal gland;lens;pancreas;lung;epididymis;macula lutea;visual apparatus;liver;spleen;head and neck;cervix;kidney;mammary gland;stomach;</t>
  </si>
  <si>
    <t xml:space="preserve">superior cervical ganglion;</t>
  </si>
  <si>
    <t xml:space="preserve">DCC</t>
  </si>
  <si>
    <t xml:space="preserve">TISSUE SPECIFICITY: Found in axons of the central and peripheral nervous system and in differentiated cell types of the intestine. Not expressed in colorectal tumor cells that lost their capacity to differentiate into mucus producing cells. {ECO:0000269|PubMed:7926722}.; </t>
  </si>
  <si>
    <t xml:space="preserve">unclassifiable (Anatomical System);lung;testis;skeletal muscle;</t>
  </si>
  <si>
    <t xml:space="preserve">DDI1</t>
  </si>
  <si>
    <t xml:space="preserve">unclassifiable (Anatomical System);uterus;medulla oblongata;lung;heart;testis;skin;</t>
  </si>
  <si>
    <t xml:space="preserve">testis - interstitial;superior cervical ganglion;testis - seminiferous tubule;testis;ciliary ganglion;atrioventricular node;trigeminal ganglion;skeletal muscle;</t>
  </si>
  <si>
    <t xml:space="preserve">DDX25</t>
  </si>
  <si>
    <t xml:space="preserve">TISSUE SPECIFICITY: Highly expressed in the Leydig and germ cells of the testis and weakly expressed in the pituitary and hypothalamus. {ECO:0000269|PubMed:10608860, ECO:0000269|Ref.2}.; </t>
  </si>
  <si>
    <t xml:space="preserve">unclassifiable (Anatomical System);uterus;medulla oblongata;lung;frontal lobe;adrenal gland;visual apparatus;testis;brain;retina;</t>
  </si>
  <si>
    <t xml:space="preserve">amygdala;subthalamic nucleus;testis - interstitial;testis - seminiferous tubule;prefrontal cortex;testis;</t>
  </si>
  <si>
    <t xml:space="preserve">DEFB113</t>
  </si>
  <si>
    <t xml:space="preserve">DGCR6</t>
  </si>
  <si>
    <t xml:space="preserve">TISSUE SPECIFICITY: Found in all tissues examined with highest expression in liver, heart and skeletal muscle. Lower levels in pancreas and placenta. Weak expression in brain. {ECO:0000269|PubMed:11157784, ECO:0000269|PubMed:15821931}.; </t>
  </si>
  <si>
    <t xml:space="preserve">myocardium;ovary;colon;parathyroid;skin;retina;bone marrow;uterus;prostate;optic nerve;whole body;frontal lobe;bone;iris;testis;brain;unclassifiable (Anatomical System);lymph node;heart;islets of Langerhans;hypothalamus;spinal cord;muscle;adrenal cortex;blood;lens;skeletal muscle;lung;epididymis;placenta;visual apparatus;hippocampus;liver;alveolus;spleen;cervix;kidney;mammary gland;aorta;</t>
  </si>
  <si>
    <t xml:space="preserve">DGKH</t>
  </si>
  <si>
    <t xml:space="preserve">TISSUE SPECIFICITY: Isoform 2 is ubiquitously expressed. Isoform 1 is expressed only in testis, kidney and colon. {ECO:0000269|PubMed:12810723}.; </t>
  </si>
  <si>
    <t xml:space="preserve">unclassifiable (Anatomical System);heart;ovary;blood;skin;uterus;breast;prostate;lung;hypopharynx;head and neck;brain;pineal gland;</t>
  </si>
  <si>
    <t xml:space="preserve">DHCR7</t>
  </si>
  <si>
    <t xml:space="preserve">TISSUE SPECIFICITY: Most abundant in adrenal gland, liver, testis, and brain. {ECO:0000269|PubMed:9878250}.; </t>
  </si>
  <si>
    <t xml:space="preserve">ovary;sympathetic chain;colon;parathyroid;choroid;skin;retina;bone marrow;uterus;prostate;optic nerve;whole body;frontal lobe;endometrium;bone;thyroid;iris;testis;germinal center;brain;bladder;unclassifiable (Anatomical System);amygdala;lymph node;cartilage;heart;islets of Langerhans;pineal body;adrenal cortex;blood;lens;breast;pancreas;lung;placenta;visual apparatus;duodenum;liver;spleen;head and neck;cervix;kidney;mammary gland;stomach;aorta;thymus;</t>
  </si>
  <si>
    <t xml:space="preserve">superior cervical ganglion;fetal liver;adrenal gland;adrenal cortex;liver;</t>
  </si>
  <si>
    <t xml:space="preserve">DHPS</t>
  </si>
  <si>
    <t xml:space="preserve">medulla oblongata;ovary;skin;bone marrow;retina;prostate;optic nerve;frontal lobe;cochlea;endometrium;thyroid;germinal center;bladder;brain;heart;cartilage;adrenal cortex;pharynx;blood;lens;skeletal muscle;breast;visual apparatus;macula lutea;liver;spleen;mammary gland;salivary gland;intestine;colon;choroid;fovea centralis;uterus;whole body;bone;testis;unclassifiable (Anatomical System);lymph node;islets of Langerhans;hypothalamus;muscle;bile duct;pancreas;lung;cornea;adrenal gland;placenta;kidney;stomach;cerebellum;</t>
  </si>
  <si>
    <t xml:space="preserve">whole brain;subthalamic nucleus;heart;cerebellum peduncles;liver;prefrontal cortex;tumor;white blood cells;skeletal muscle;parietal lobe;cerebellum;</t>
  </si>
  <si>
    <t xml:space="preserve">DIRC3</t>
  </si>
  <si>
    <t xml:space="preserve">DMRTA2</t>
  </si>
  <si>
    <t xml:space="preserve">TISSUE SPECIFICITY: Expressed in testis. {ECO:0000269|PubMed:11863363}.; </t>
  </si>
  <si>
    <t xml:space="preserve">DMTN</t>
  </si>
  <si>
    <t xml:space="preserve">TISSUE SPECIFICITY: Expressed in platelets (at protein level). Expressed in heart, brain, lung, skeletal muscle, and kidney. {ECO:0000269|PubMed:23060452}.; </t>
  </si>
  <si>
    <t xml:space="preserve">DMXL1</t>
  </si>
  <si>
    <t xml:space="preserve">TISSUE SPECIFICITY: Expressed in bone, breast, eye, foreskin, heart, parathyroid, small intestine, testis, tonsils, placenta and uterus. {ECO:0000269|PubMed:10708522}.; </t>
  </si>
  <si>
    <t xml:space="preserve">sympathetic chain;colon;parathyroid;skin;retina;uterus;prostate;whole body;endometrium;larynx;bone;thyroid;testis;germinal center;brain;pineal gland;unclassifiable (Anatomical System);lymph node;small intestine;heart;urinary;adrenal cortex;blood;skeletal muscle;pancreas;lung;adrenal gland;placenta;hippocampus;liver;spleen;head and neck;kidney;mammary gland;stomach;</t>
  </si>
  <si>
    <t xml:space="preserve">amygdala;medulla oblongata;prostate;hypothalamus;thyroid;spinal cord;prefrontal cortex;caudate nucleus;</t>
  </si>
  <si>
    <t xml:space="preserve">DNAAF3</t>
  </si>
  <si>
    <t xml:space="preserve">DNAH10</t>
  </si>
  <si>
    <t xml:space="preserve">TISSUE SPECIFICITY: Expressed primarily in trachea and testis, 2 tissues containing axonemal structures. Also expressed in brain but not in adult heart.; </t>
  </si>
  <si>
    <t xml:space="preserve">DST</t>
  </si>
  <si>
    <t xml:space="preserve">TISSUE SPECIFICITY: Isoform 1 is expressed in myoblasts (at protein level). Isoform 3 is expressed in the skin. Isoform 6 is expressed in the brain. Highly expressed in skeletal muscle and cultured keratinocytes. {ECO:0000269|PubMed:11751855, ECO:0000269|PubMed:19932097, ECO:0000269|PubMed:8752219}.; </t>
  </si>
  <si>
    <t xml:space="preserve">myocardium;ovary;sympathetic chain;skin;bone marrow;retina;prostate;optic nerve;frontal lobe;cochlea;endometrium;thyroid;amniotic fluid;bladder;brain;heart;cartilage;tongue;urinary;blood;lens;skeletal muscle;breast;macula lutea;liver;spleen;cervix;colon;parathyroid;fovea centralis;choroid;uterus;whole body;cerebral cortex;larynx;bone;pituitary gland;testis;spinal ganglion;artery;unclassifiable (Anatomical System);lacrimal gland;islets of Langerhans;hypothalamus;bile duct;pancreas;lung;adrenal gland;placenta;duodenum;hypopharynx;head and neck;kidney;stomach;aorta;</t>
  </si>
  <si>
    <t xml:space="preserve">amygdala;dorsal root ganglion;occipital lobe;medulla oblongata;thalamus;superior cervical ganglion;tongue;hypothalamus;spinal cord;pons;atrioventricular node;caudate nucleus;skin;skeletal muscle;uterus;subthalamic nucleus;prefrontal cortex;globus pallidus;ciliary ganglion;trigeminal ganglion;cingulate cortex;parietal lobe;</t>
  </si>
  <si>
    <t xml:space="preserve">DUS3L</t>
  </si>
  <si>
    <t xml:space="preserve">lymphoreticular;ovary;colon;parathyroid;choroid;skin;retina;bone marrow;uterus;prostate;frontal lobe;endometrium;bone;thyroid;testis;germinal center;brain;unclassifiable (Anatomical System);lymph node;cartilage;heart;islets of Langerhans;urinary;blood;lens;bile duct;pancreas;lung;placenta;visual apparatus;alveolus;liver;spleen;cervix;kidney;mammary gland;stomach;aorta;peripheral nerve;thymus;</t>
  </si>
  <si>
    <t xml:space="preserve">superior cervical ganglion;testis - interstitial;subthalamic nucleus;globus pallidus;testis;ciliary ganglion;atrioventricular node;trigeminal ganglion;skeletal muscle;</t>
  </si>
  <si>
    <t xml:space="preserve">DUSP15</t>
  </si>
  <si>
    <t xml:space="preserve">TISSUE SPECIFICITY: Highly expressed in testis. {ECO:0000269|PubMed:15138252}.; </t>
  </si>
  <si>
    <t xml:space="preserve">unclassifiable (Anatomical System);medulla oblongata;pancreas;lung;ovary;colon;testis;kidney;germinal center;brain;stomach;</t>
  </si>
  <si>
    <t xml:space="preserve">dorsal root ganglion;superior cervical ganglion;ciliary ganglion;atrioventricular node;trigeminal ganglion;parietal lobe;</t>
  </si>
  <si>
    <t xml:space="preserve">DYSF</t>
  </si>
  <si>
    <t xml:space="preserve">TISSUE SPECIFICITY: Expressed in skeletal muscle, myoblast, myotube and in the syncytiotrophoblast (STB) of the placenta (at protein level). Ubiquitous. Highly expressed in skeletal muscle. Also found in heart, brain, spleen, intestine, placenta and at lower levels in liver, lung, kidney and pancreas. {ECO:0000269|PubMed:10196375, ECO:0000269|PubMed:11532985, ECO:0000269|PubMed:11959863, ECO:0000269|PubMed:15318348, ECO:0000269|PubMed:16896923, ECO:0000269|PubMed:17185750, ECO:0000269|PubMed:17363620, ECO:0000269|PubMed:17554076, ECO:0000269|PubMed:24239457}.; </t>
  </si>
  <si>
    <t xml:space="preserve">colon;fovea centralis;choroid;retina;bone marrow;uterus;prostate;optic nerve;frontal lobe;larynx;thyroid;iris;testis;brain;unclassifiable (Anatomical System);amygdala;tongue;muscle;blood;lens;skeletal muscle;bile duct;breast;pancreas;lung;placenta;macula lutea;visual apparatus;hippocampus;liver;spleen;head and neck;kidney;mammary gland;</t>
  </si>
  <si>
    <t xml:space="preserve">placenta;</t>
  </si>
  <si>
    <t xml:space="preserve">E2F7</t>
  </si>
  <si>
    <t xml:space="preserve">unclassifiable (Anatomical System);medulla oblongata;adrenal cortex;colon;blood;skin;bone marrow;breast;lung;endometrium;larynx;bone;placenta;visual apparatus;alveolus;liver;testis;cervix;head and neck;spleen;germinal center;brain;stomach;</t>
  </si>
  <si>
    <t xml:space="preserve">superior cervical ganglion;ciliary ganglion;cerebellum;</t>
  </si>
  <si>
    <t xml:space="preserve">ECEL1</t>
  </si>
  <si>
    <t xml:space="preserve">TISSUE SPECIFICITY: Highly expressed in the CNS, in particular in putamen, spinal cord, medulla and subthalamic nucleus. A strong signal was also detected in uterine subepithelial cells and around renal blood vessels. Detected at lower levels in amygdala, caudate, thalamus, pancreas and skeletal muscle. Detected at very low levels in substantia nigra, cerebellum, cortex, corpus callosum and hippocampus.; </t>
  </si>
  <si>
    <t xml:space="preserve">unclassifiable (Anatomical System);cartilage;tongue;fovea centralis;choroid;lung;endometrium;macula lutea;visual apparatus;duodenum;pituitary gland;head and neck;brain;tonsil;stomach;</t>
  </si>
  <si>
    <t xml:space="preserve">ovary;hypothalamus;temporal lobe;atrioventricular node;skeletal muscle;</t>
  </si>
  <si>
    <t xml:space="preserve">EDIL3</t>
  </si>
  <si>
    <t xml:space="preserve">unclassifiable (Anatomical System);amygdala;heart;ovary;cartilage;hypothalamus;parathyroid;skin;skeletal muscle;retina;uterus;prostate;whole body;lung;frontal lobe;placenta;thyroid;bone;visual apparatus;hippocampus;testis;brain;</t>
  </si>
  <si>
    <t xml:space="preserve">whole brain;amygdala;occipital lobe;medulla oblongata;superior cervical ganglion;prefrontal cortex;globus pallidus;ciliary ganglion;atrioventricular node;pons;trigeminal ganglion;parietal lobe;</t>
  </si>
  <si>
    <t xml:space="preserve">EEA1</t>
  </si>
  <si>
    <t xml:space="preserve">smooth muscle;ovary;colon;parathyroid;skin;retina;bone marrow;uterus;whole body;frontal lobe;bone;thyroid;testis;germinal center;brain;pineal gland;gall bladder;unclassifiable (Anatomical System);lymph node;cartilage;heart;small intestine;spinal cord;adrenal cortex;blood;skeletal muscle;lung;adrenal gland;nasopharynx;placenta;visual apparatus;hypopharynx;liver;spleen;head and neck;cervix;kidney;mammary gland;aorta;stomach;peripheral nerve;</t>
  </si>
  <si>
    <t xml:space="preserve">superior cervical ganglion;adrenal cortex;appendix;atrioventricular node;trigeminal ganglion;skeletal muscle;</t>
  </si>
  <si>
    <t xml:space="preserve">EHBP1L1</t>
  </si>
  <si>
    <t xml:space="preserve">smooth muscle;ovary;sympathetic chain;colon;parathyroid;fovea centralis;choroid;skin;retina;bone marrow;uterus;prostate;optic nerve;whole body;oesophagus;endometrium;bone;thyroid;testis;germinal center;brain;unclassifiable (Anatomical System);cartilage;heart;islets of Langerhans;urinary;blood;lens;breast;pancreas;lung;placenta;macula lutea;visual apparatus;duodenum;hypopharynx;liver;spleen;head and neck;cervix;kidney;mammary gland;stomach;</t>
  </si>
  <si>
    <t xml:space="preserve">superior cervical ganglion;lymph node;tongue;ciliary ganglion;pons;atrioventricular node;whole blood;trigeminal ganglion;skin;skeletal muscle;bone marrow;</t>
  </si>
  <si>
    <t xml:space="preserve">EIF2AK3</t>
  </si>
  <si>
    <t xml:space="preserve">TISSUE SPECIFICITY: Ubiquitous. A high level expression is seen in secretory tissues.; </t>
  </si>
  <si>
    <t xml:space="preserve">ovary;colon;parathyroid;fovea centralis;choroid;skin;retina;bone marrow;uterus;prostate;optic nerve;endometrium;thyroid;bone;testis;germinal center;brain;unclassifiable (Anatomical System);heart;cartilage;islets of Langerhans;blood;lens;skeletal muscle;pancreas;lung;nasopharynx;placenta;macula lutea;visual apparatus;liver;spleen;kidney;mammary gland;stomach;</t>
  </si>
  <si>
    <t xml:space="preserve">amygdala;thyroid;</t>
  </si>
  <si>
    <t xml:space="preserve">EIF4A3</t>
  </si>
  <si>
    <t xml:space="preserve">TISSUE SPECIFICITY: Ubiquitously expressed. {ECO:0000269|PubMed:10623621}.; </t>
  </si>
  <si>
    <t xml:space="preserve">smooth muscle;ovary;skin;bone marrow;prostate;optic nerve;frontal lobe;cochlea;endometrium;thyroid;germinal center;bladder;brain;gall bladder;heart;cartilage;tongue;adrenal cortex;pharynx;blood;skeletal muscle;breast;visual apparatus;liver;alveolus;spleen;cervix;mammary gland;salivary gland;intestine;colon;parathyroid;choroid;vein;uterus;whole body;larynx;bone;testis;pineal gland;unclassifiable (Anatomical System);lymph node;trophoblast;islets of Langerhans;muscle;bile duct;pancreas;lung;adrenal gland;placenta;head and neck;kidney;stomach;aorta;</t>
  </si>
  <si>
    <t xml:space="preserve">testis - interstitial;adrenal cortex;testis;</t>
  </si>
  <si>
    <t xml:space="preserve">EIF4E1B</t>
  </si>
  <si>
    <t xml:space="preserve">EIF5B</t>
  </si>
  <si>
    <t xml:space="preserve">smooth muscle;ovary;salivary gland;foreskin;intestine;colon;parathyroid;skin;retina;bone marrow;uterus;prostate;frontal lobe;cochlea;cerebral cortex;thyroid;testis;germinal center;brain;bladder;tonsil;unclassifiable (Anatomical System);trophoblast;lymph node;cartilage;heart;tongue;islets of Langerhans;pharynx;blood;skeletal muscle;breast;pancreas;lung;cornea;nasopharynx;placenta;visual apparatus;liver;cervix;head and neck;kidney;mammary gland;stomach;</t>
  </si>
  <si>
    <t xml:space="preserve">dorsal root ganglion;superior cervical ganglion;testis - interstitial;medulla oblongata;olfactory bulb;testis - seminiferous tubule;ciliary ganglion;trigeminal ganglion;cingulate cortex;skeletal muscle;parietal lobe;</t>
  </si>
  <si>
    <t xml:space="preserve">ELMO1</t>
  </si>
  <si>
    <t xml:space="preserve">TISSUE SPECIFICITY: Widely expressed, with a higher expression in the spleen and placenta.; </t>
  </si>
  <si>
    <t xml:space="preserve">ovary;salivary gland;colon;fovea centralis;choroid;skin;retina;bone marrow;uterus;prostate;optic nerve;whole body;frontal lobe;larynx;bone;thyroid;testis;germinal center;brain;bladder;unclassifiable (Anatomical System);lymph node;heart;cerebellum cortex;islets of Langerhans;muscle;pharynx;blood;lens;skeletal muscle;breast;lung;nasopharynx;placenta;macula lutea;visual apparatus;hippocampus;liver;spleen;head and neck;kidney;mammary gland;cerebellum;</t>
  </si>
  <si>
    <t xml:space="preserve">whole brain;amygdala;medulla oblongata;occipital lobe;thalamus;subthalamic nucleus;cerebellum peduncles;temporal lobe;prefrontal cortex;globus pallidus;pons;cingulate cortex;parietal lobe;cerebellum;</t>
  </si>
  <si>
    <t xml:space="preserve">ENDOU</t>
  </si>
  <si>
    <t xml:space="preserve">TISSUE SPECIFICITY: Placental-specific, but also associated with various malignant neoplasms.; </t>
  </si>
  <si>
    <t xml:space="preserve">uterus;lung;frontal lobe;heart;placenta;spinal cord;adrenal cortex;testis;blood;kidney;brain;skin;</t>
  </si>
  <si>
    <t xml:space="preserve">tongue;placenta;</t>
  </si>
  <si>
    <t xml:space="preserve">EP300</t>
  </si>
  <si>
    <t xml:space="preserve">ovary;salivary gland;intestine;colon;parathyroid;skin;retina;bone marrow;uterus;prostate;atrium;whole body;frontal lobe;cerebral cortex;endometrium;larynx;thyroid;testis;amniotic fluid;germinal center;spinal ganglion;brain;bladder;unclassifiable (Anatomical System);lymph node;cartilage;heart;adrenal cortex;pharynx;blood;breast;lung;epididymis;nasopharynx;placenta;visual apparatus;duodenum;liver;spleen;head and neck;kidney;mammary gland;stomach;thymus;</t>
  </si>
  <si>
    <t xml:space="preserve">testis - interstitial;superior cervical ganglion;ciliary ganglion;pons;trigeminal ganglion;skeletal muscle;parietal lobe;</t>
  </si>
  <si>
    <t xml:space="preserve">EPHA8</t>
  </si>
  <si>
    <t xml:space="preserve">unclassifiable (Anatomical System);pancreas;optic nerve;lung;islets of Langerhans;macula lutea;fovea centralis;choroid;lens;retina;</t>
  </si>
  <si>
    <t xml:space="preserve">ERN1</t>
  </si>
  <si>
    <t xml:space="preserve">TISSUE SPECIFICITY: Ubiquitously expressed. High levels observed in pancreatic tissue. {ECO:0000269|PubMed:9637683}.; </t>
  </si>
  <si>
    <t xml:space="preserve">ESRP2</t>
  </si>
  <si>
    <t xml:space="preserve">TISSUE SPECIFICITY: Epithelial cell-specific. {ECO:0000269|PubMed:19285943}.; </t>
  </si>
  <si>
    <t xml:space="preserve">lymphoreticular;ovary;salivary gland;colon;fovea centralis;choroid;skin;retina;bone marrow;uterus;prostate;optic nerve;endometrium;larynx;bone;thyroid;testis;germinal center;brain;bladder;unclassifiable (Anatomical System);lymph node;cartilage;heart;lacrimal gland;tongue;islets of Langerhans;urinary;pharynx;blood;lens;breast;lung;adrenal gland;epididymis;placenta;macula lutea;visual apparatus;amnion;liver;cervix;spleen;head and neck;kidney;mammary gland;stomach;thymus;</t>
  </si>
  <si>
    <t xml:space="preserve">EVC2</t>
  </si>
  <si>
    <t xml:space="preserve">TISSUE SPECIFICITY: Found in the heart, placenta, lung, liver, skeletal muscle, kidney and pancreas. {ECO:0000269|PubMed:12468274}.; </t>
  </si>
  <si>
    <t xml:space="preserve">unclassifiable (Anatomical System);lymph node;heart;adrenal medulla;fovea centralis;choroid;lens;skin;retina;uterus;prostate;optic nerve;lung;cerebral cortex;macula lutea;testis;germinal center;kidney;tonsil;</t>
  </si>
  <si>
    <t xml:space="preserve">EVL</t>
  </si>
  <si>
    <t xml:space="preserve">EVPL</t>
  </si>
  <si>
    <t xml:space="preserve">TISSUE SPECIFICITY: Exclusively expressed in stratified squamous epithelia.; </t>
  </si>
  <si>
    <t xml:space="preserve">ovary;colon;parathyroid;fovea centralis;choroid;skin;retina;uterus;prostate;optic nerve;endometrium;larynx;thyroid;testis;bladder;unclassifiable (Anatomical System);heart;lens;breast;pancreas;lung;placenta;macula lutea;hypopharynx;head and neck;cervix;kidney;</t>
  </si>
  <si>
    <t xml:space="preserve">tongue;</t>
  </si>
  <si>
    <t xml:space="preserve">EXOSC10</t>
  </si>
  <si>
    <t xml:space="preserve">medulla oblongata;ovary;sympathetic chain;skin;bone marrow;retina;prostate;optic nerve;endometrium;thyroid;iris;germinal center;brain;heart;cartilage;spinal cord;adrenal cortex;blood;lens;skeletal muscle;breast;trabecular meshwork;visual apparatus;macula lutea;liver;cervix;spleen;mammary gland;developmental;colon;choroid;fovea centralis;uterus;whole body;cerebral cortex;bone;testis;unclassifiable (Anatomical System);lymph node;trophoblast;lacrimal gland;islets of Langerhans;hypothalamus;bile duct;pancreas;lung;adrenal gland;nasopharynx;placenta;head and neck;kidney;stomach;</t>
  </si>
  <si>
    <t xml:space="preserve">testis - interstitial;subthalamic nucleus;testis - seminiferous tubule;hypothalamus;prefrontal cortex;testis;cingulate cortex;</t>
  </si>
  <si>
    <t xml:space="preserve">F13A1</t>
  </si>
  <si>
    <t xml:space="preserve">colon;fovea centralis;choroid;skin;retina;bone marrow;uterus;prostate;whole body;frontal lobe;cochlea;endometrium;thyroid;bone;iris;testis;brain;unclassifiable (Anatomical System);heart;cartilage;lacrimal gland;islets of Langerhans;urinary;breast;pancreas;lung;adrenal gland;placenta;macula lutea;liver;alveolus;spleen;head and neck;kidney;mammary gland;</t>
  </si>
  <si>
    <t xml:space="preserve">superior cervical ganglion;placenta;</t>
  </si>
  <si>
    <t xml:space="preserve">F2</t>
  </si>
  <si>
    <t xml:space="preserve">unclassifiable (Anatomical System);whole body;bone;liver;spleen;bone marrow;</t>
  </si>
  <si>
    <t xml:space="preserve">superior cervical ganglion;fetal liver;liver;fetal lung;atrioventricular node;</t>
  </si>
  <si>
    <t xml:space="preserve">FAM104B</t>
  </si>
  <si>
    <t xml:space="preserve">breast;prostate;bone;liver;spleen;kidney;skin;</t>
  </si>
  <si>
    <t xml:space="preserve">dorsal root ganglion;superior cervical ganglion;ciliary ganglion;trigeminal ganglion;</t>
  </si>
  <si>
    <t xml:space="preserve">FAM149A</t>
  </si>
  <si>
    <t xml:space="preserve">unclassifiable (Anatomical System);ovary;islets of Langerhans;colon;blood;retina;uterus;prostate;lung;endometrium;placenta;kidney;spinal ganglion;brain;stomach;</t>
  </si>
  <si>
    <t xml:space="preserve">whole brain;amygdala;medulla oblongata;superior cervical ganglion;hypothalamus;pons;caudate nucleus;subthalamic nucleus;prefrontal cortex;liver;globus pallidus;ciliary ganglion;kidney;trigeminal ganglion;parietal lobe;</t>
  </si>
  <si>
    <t xml:space="preserve">FAM189A1</t>
  </si>
  <si>
    <t xml:space="preserve">unclassifiable (Anatomical System);ovary;endometrium;placenta;visual apparatus;parathyroid;kidney;brain;cerebellum;</t>
  </si>
  <si>
    <t xml:space="preserve">amygdala;medulla oblongata;fetal brain;cerebellum peduncles;temporal lobe;prefrontal cortex;trigeminal ganglion;parietal lobe;cingulate cortex;</t>
  </si>
  <si>
    <t xml:space="preserve">FAM20C</t>
  </si>
  <si>
    <t xml:space="preserve">TISSUE SPECIFICITY: Widely expressed. {ECO:0000269|PubMed:15676076}.; </t>
  </si>
  <si>
    <t xml:space="preserve">unclassifiable (Anatomical System);ovary;kidney;brain;</t>
  </si>
  <si>
    <t xml:space="preserve">kidney;</t>
  </si>
  <si>
    <t xml:space="preserve">FAM83D</t>
  </si>
  <si>
    <t xml:space="preserve">ovary;salivary gland;intestine;colon;skin;uterus;prostate;whole body;endometrium;testis;germinal center;brain;bladder;unclassifiable (Anatomical System);lymph node;heart;adrenal cortex;pharynx;blood;skeletal muscle;breast;bile duct;pancreas;lung;cornea;placenta;visual apparatus;liver;spleen;cervix;kidney;mammary gland;stomach;</t>
  </si>
  <si>
    <t xml:space="preserve">FAN1</t>
  </si>
  <si>
    <t xml:space="preserve">ovary;colon;parathyroid;fovea centralis;skin;retina;uterus;prostate;whole body;endometrium;thyroid;testis;brain;unclassifiable (Anatomical System);heart;cerebellum cortex;islets of Langerhans;urinary;adrenal cortex;blood;skeletal muscle;bile duct;breast;pancreas;lung;placenta;macula lutea;visual apparatus;liver;hypopharynx;spleen;head and neck;kidney;stomach;cerebellum;</t>
  </si>
  <si>
    <t xml:space="preserve">superior cervical ganglion;ciliary ganglion;</t>
  </si>
  <si>
    <t xml:space="preserve">FBN2</t>
  </si>
  <si>
    <t xml:space="preserve">TISSUE SPECIFICITY: Expressed in fetal eye (18 weeks)in the retinal pigment epithelium (RPE), the choroid, Bruch's membrane and in the sclera. Not expressed in the neural retina. {ECO:0000269|PubMed:24899048}.; </t>
  </si>
  <si>
    <t xml:space="preserve">smooth muscle;ovary;parathyroid;fovea centralis;choroid;skin;retina;bone marrow;uterus;prostate;optic nerve;whole body;cochlea;endometrium;larynx;thyroid;bone;testis;brain;unclassifiable (Anatomical System);heart;cartilage;blood;lens;skeletal muscle;bile duct;pancreas;lung;placenta;macula lutea;visual apparatus;liver;spleen;head and neck;stomach;</t>
  </si>
  <si>
    <t xml:space="preserve">superior cervical ganglion;adipose tissue;placenta;testis;appendix;ciliary ganglion;pons;atrioventricular node;trigeminal ganglion;</t>
  </si>
  <si>
    <t xml:space="preserve">FBP1</t>
  </si>
  <si>
    <t xml:space="preserve">TISSUE SPECIFICITY: Expressed in pancreatic islets. {ECO:0000269|PubMed:18375435}.; </t>
  </si>
  <si>
    <t xml:space="preserve">FBXO40</t>
  </si>
  <si>
    <t xml:space="preserve">TISSUE SPECIFICITY: Expressed only in heart and skeletal muscle. {ECO:0000269|PubMed:17928169}.; </t>
  </si>
  <si>
    <t xml:space="preserve">unclassifiable (Anatomical System);prostate;heart;bone;liver;blood;skin;skeletal muscle;bone marrow;</t>
  </si>
  <si>
    <t xml:space="preserve">FGF14</t>
  </si>
  <si>
    <t xml:space="preserve">TISSUE SPECIFICITY: Nervous system.; </t>
  </si>
  <si>
    <t xml:space="preserve">FLNB</t>
  </si>
  <si>
    <t xml:space="preserve">TISSUE SPECIFICITY: Ubiquitous. Isoform 1 and isoform 2 are expressed in placenta, bone marrow, brain, umbilical vein endothelial cells (HUVEC), retina and skeletal muscle. Isoform 1 is predominantly expressed in prostate, uterus, liver, thyroid, stomach, lymph node, small intestine, spleen, skeletal muscle, kidney, placenta, pancreas, heart, lung, platelets, endothelial cells, megakaryocytic and erythroleukemic cell lines. Isoform 2 is predominantly expressed in spinal cord, platelet and Daudi cells. Also expressed in thyroid adenoma, neurofibrillary tangles (NFT), senile plaques in the hippocampus and cerebral cortex in Alzheimer disease (AD). Isoform 3 and isoform 6 are expressed predominantly in lung, heart, skeletal muscle, testis, spleen, thymus and leukocytes. Isoform 4 and isoform 5 are expressed in heart. {ECO:0000269|PubMed:11807098, ECO:0000269|PubMed:8327473, ECO:0000269|PubMed:9651345, ECO:0000269|PubMed:9694715}.; </t>
  </si>
  <si>
    <t xml:space="preserve">smooth muscle;ovary;skin;retina;bone marrow;prostate;optic nerve;frontal lobe;cochlea;endometrium;thyroid;amniotic fluid;ciliary body;bladder;brain;heart;cartilage;tongue;urinary;pharynx;blood;lens;skeletal muscle;greater omentum;breast;epididymis;macula lutea;visual apparatus;liver;spleen;cervix;mammary gland;colon;parathyroid;fovea centralis;choroid;uterus;whole body;cerebral cortex;larynx;bone;testis;spinal ganglion;unclassifiable (Anatomical System);lymph node;islets of Langerhans;oral cavity;bile duct;pancreas;lung;nasopharynx;placenta;hypopharynx;amnion;head and neck;kidney;stomach;aorta;thymus;</t>
  </si>
  <si>
    <t xml:space="preserve">dorsal root ganglion;superior cervical ganglion;lung;placenta;skeletal muscle;</t>
  </si>
  <si>
    <t xml:space="preserve">FOXJ2</t>
  </si>
  <si>
    <t xml:space="preserve">ovary;colon;parathyroid;vein;skin;retina;bone marrow;uterus;prostate;optic nerve;whole body;bone;thyroid;iris;testis;germinal center;brain;bladder;pineal gland;unclassifiable (Anatomical System);lymph node;cartilage;heart;islets of Langerhans;adrenal cortex;blood;skeletal muscle;bile duct;breast;pancreas;lung;adrenal gland;placenta;liver;spleen;kidney;mammary gland;cerebellum;</t>
  </si>
  <si>
    <t xml:space="preserve">dorsal root ganglion;superior cervical ganglion;atrioventricular node;trigeminal ganglion;skeletal muscle;cerebellum;</t>
  </si>
  <si>
    <t xml:space="preserve">FOXM1</t>
  </si>
  <si>
    <t xml:space="preserve">TISSUE SPECIFICITY: Expressed in thymus, testis, small intestine, colon followed by ovary. Appears to be expressed only in adult organs containing proliferating/cycling cells or in response to growth factors. Also expressed in epithelial cell lines derived from tumors. Not expressed in resting cells. Isoform 2 is highly expressed in testis.; </t>
  </si>
  <si>
    <t xml:space="preserve">medulla oblongata;smooth muscle;ovary;salivary gland;intestine;colon;parathyroid;fovea centralis;choroid;skin;retina;uterus;prostate;optic nerve;endometrium;larynx;bone;thyroid;testis;germinal center;brain;bladder;unclassifiable (Anatomical System);lymph node;cartilage;heart;tongue;muscle;urinary;pharynx;blood;lens;breast;pancreas;lung;placenta;macula lutea;visual apparatus;liver;spleen;head and neck;cervix;kidney;mammary gland;stomach;thymus;</t>
  </si>
  <si>
    <t xml:space="preserve">testis - interstitial;testis - seminiferous tubule;testis;tumor;</t>
  </si>
  <si>
    <t xml:space="preserve">FRAS1</t>
  </si>
  <si>
    <t xml:space="preserve">TISSUE SPECIFICITY: Expressed in many adult tissues, with highest levels in kidney, pancreas and thalamus. Relatively high expression was also detected in fetal kidney and heart. {ECO:0000269|PubMed:12766769}.; </t>
  </si>
  <si>
    <t xml:space="preserve">unclassifiable (Anatomical System);cartilage;heart;muscle;colon;skin;skeletal muscle;lung;frontal lobe;endometrium;adrenal gland;larynx;bone;placenta;thyroid;visual apparatus;liver;testis;head and neck;spleen;kidney;brain;mammary gland;stomach;</t>
  </si>
  <si>
    <t xml:space="preserve">dorsal root ganglion;subthalamic nucleus;superior cervical ganglion;pancreas;globus pallidus;ciliary ganglion;atrioventricular node;caudate nucleus;pons;trigeminal ganglion;skeletal muscle;cerebellum;</t>
  </si>
  <si>
    <t xml:space="preserve">FRMD5</t>
  </si>
  <si>
    <t xml:space="preserve">FSTL4</t>
  </si>
  <si>
    <t xml:space="preserve">unclassifiable (Anatomical System);islets of Langerhans;urinary;fovea centralis;choroid;lens;retina;breast;pancreas;optic nerve;lung;placenta;macula lutea;testis;kidney;brain;stomach;</t>
  </si>
  <si>
    <t xml:space="preserve">superior cervical ganglion;medulla oblongata;temporal lobe;pons;trigeminal ganglion;skeletal muscle;parietal lobe;</t>
  </si>
  <si>
    <t xml:space="preserve">GABBR1</t>
  </si>
  <si>
    <t xml:space="preserve">TISSUE SPECIFICITY: Highly expressed in brain and weakly in heart, small intestine and uterus. Isoform 1A is mostly expressed in granular cell and molecular layer. Isoform 1B is mostly expressed in Purkinje cells. Isoform 1E is predominantly expressed in peripheral tissues as kidney, lung, trachea, colon, small intestine, stomach, bone marrow, thymus and mammary gland. {ECO:0000269|PubMed:9844003}.; </t>
  </si>
  <si>
    <t xml:space="preserve">ovary;sympathetic chain;colon;substantia nigra;fovea centralis;choroid;retina;uterus;optic nerve;frontal lobe;endometrium;larynx;testis;brain;unclassifiable (Anatomical System);amygdala;lymph node;heart;cartilage;tongue;lens;skeletal muscle;breast;pancreas;lung;nasopharynx;macula lutea;liver;spleen;head and neck;kidney;mammary gland;stomach;aorta;</t>
  </si>
  <si>
    <t xml:space="preserve">GALNT11</t>
  </si>
  <si>
    <t xml:space="preserve">TISSUE SPECIFICITY: Highly expressed in kidney. Expressed at intermediate level in brain, heart and skeletal muscle. Weakly expressed other tissues. In kidney, it is strongly expressed in tubules but not expressed in glomeruli. {ECO:0000269|PubMed:11925450}.; </t>
  </si>
  <si>
    <t xml:space="preserve">myocardium;ovary;salivary gland;intestine;colon;skin;retina;uterus;prostate;whole body;frontal lobe;endometrium;synovium;bone;pituitary gland;testis;brain;bladder;unclassifiable (Anatomical System);cartilage;cerebellum cortex;islets of Langerhans;hypothalamus;pharynx;blood;skeletal muscle;breast;pancreas;lung;placenta;liver;kidney;stomach;thymus;</t>
  </si>
  <si>
    <t xml:space="preserve">GALR2</t>
  </si>
  <si>
    <t xml:space="preserve">TISSUE SPECIFICITY: Expressed abundantly within the central nervous system in both hypothalamus and hippocampus. In peripheral tissues, the strongest expression was observed in heart, kidney, liver, and small intestine.; </t>
  </si>
  <si>
    <t xml:space="preserve">unclassifiable (Anatomical System);bone;</t>
  </si>
  <si>
    <t xml:space="preserve">GCOM1</t>
  </si>
  <si>
    <t xml:space="preserve">3.95491169061382e-09</t>
  </si>
  <si>
    <t xml:space="preserve">GRINL1A complex locus 1</t>
  </si>
  <si>
    <t xml:space="preserve">FUNCTION: Plays a role in cellular signaling via Rho-related GTP- binding proteins and subsequent activation of transcription factor SRF (By similarity). Targets TJP1 to cell junctions. In cortical neurons, may play a role in glutaminergic signal transduction through interaction with the NMDA receptor subunit GRIN1 (By similarity). {ECO:0000250}.; </t>
  </si>
  <si>
    <t xml:space="preserve">TISSUE SPECIFICITY: Detected in heart, liver, skeletal muscle, placenta, small intestine, lung, prostate and testis. {ECO:0000269|PubMed:15233991, ECO:0000269|PubMed:20093627}.; </t>
  </si>
  <si>
    <t xml:space="preserve">myocardium;colon;skin;uterus;prostate;iris;testis;germinal center;brain;unclassifiable (Anatomical System);lymph node;heart;islets of Langerhans;hypothalamus;skeletal muscle;pancreas;lung;epididymis;adrenal gland;nasopharynx;placenta;visual apparatus;liver;spleen;stomach;aorta;</t>
  </si>
  <si>
    <t xml:space="preserve">amygdala;uterus;occipital lobe;subthalamic nucleus;superior cervical ganglion;prefrontal cortex;ciliary ganglion;atrioventricular node;pons;trigeminal ganglion;parietal lobe;</t>
  </si>
  <si>
    <t xml:space="preserve">GFM1</t>
  </si>
  <si>
    <t xml:space="preserve">medulla oblongata;ovary;colon;parathyroid;fovea centralis;choroid;skin;retina;bone marrow;uterus;prostate;optic nerve;frontal lobe;cochlea;oesophagus;endometrium;larynx;bone;thyroid;pituitary gland;testis;germinal center;brain;bladder;unclassifiable (Anatomical System);lymph node;cartilage;heart;islets of Langerhans;hypothalamus;lens;skeletal muscle;bile duct;pancreas;lung;adrenal gland;mesenchyma;placenta;macula lutea;duodenum;liver;head and neck;cervix;kidney;mammary gland;stomach;</t>
  </si>
  <si>
    <t xml:space="preserve">dorsal root ganglion;globus pallidus;ciliary ganglion;skeletal muscle;</t>
  </si>
  <si>
    <t xml:space="preserve">GGT1</t>
  </si>
  <si>
    <t xml:space="preserve">TISSUE SPECIFICITY: Detected in fetal and adult kidney and liver, adult pancreas, stomach, intestine, placenta and lung. Isoform 3 is lung-specific. There are several other tissue-specific forms that arise from alternative promoter usage but that produce the same protein.; </t>
  </si>
  <si>
    <t xml:space="preserve">unclassifiable (Anatomical System);cartilage;heart;tongue;colon;fovea centralis;choroid;lens;retina;breast;uterus;pancreas;prostate;optic nerve;lung;frontal lobe;macula lutea;liver;testis;head and neck;spleen;kidney;mammary gland;stomach;</t>
  </si>
  <si>
    <t xml:space="preserve">GHR</t>
  </si>
  <si>
    <t xml:space="preserve">TISSUE SPECIFICITY: Expressed in various tissues with high expression in liver and skeletal muscle. Isoform 4 is predominantly expressed in kidney, bladder, adrenal gland and brain stem. Isoform 1 expression in placenta is predominant in chorion and decidua. Isoform 4 is highly expressed in placental villi. Isoform 2 is expressed in lung, stomach and muscle. Low levels in liver.; </t>
  </si>
  <si>
    <t xml:space="preserve">ovary;salivary gland;sympathetic chain;intestine;colon;parathyroid;skin;uterus;prostate;whole body;cochlea;larynx;bone;testis;brain;bladder;unclassifiable (Anatomical System);heart;cartilage;pharynx;blood;skeletal muscle;pancreas;lung;cornea;placenta;visual apparatus;liver;spleen;head and neck;kidney;mammary gland;</t>
  </si>
  <si>
    <t xml:space="preserve">superior cervical ganglion;adipose tissue;liver;trigeminal ganglion;</t>
  </si>
  <si>
    <t xml:space="preserve">GJA9</t>
  </si>
  <si>
    <t xml:space="preserve">TISSUE SPECIFICITY: Highly abundant in skeletal muscle. Also detected in testis. {ECO:0000269|PubMed:12881038}.; </t>
  </si>
  <si>
    <t xml:space="preserve">unclassifiable (Anatomical System);ovary;cartilage;colon;fovea centralis;choroid;lens;skeletal muscle;retina;bile duct;optic nerve;lung;placenta;thyroid;macula lutea;visual apparatus;liver;testis;spleen;kidney;brain;stomach;</t>
  </si>
  <si>
    <t xml:space="preserve">GNA11</t>
  </si>
  <si>
    <t xml:space="preserve">TISSUE SPECIFICITY: Expressed in testis. {ECO:0000269|PubMed:18703424}.; </t>
  </si>
  <si>
    <t xml:space="preserve">ovary;salivary gland;intestine;colon;parathyroid;skin;retina;bone marrow;uterus;prostate;optic nerve;whole body;synovium;bone;thyroid;testis;amniotic fluid;brain;bladder;unclassifiable (Anatomical System);cartilage;heart;islets of Langerhans;pharynx;blood;bile duct;lung;cornea;placenta;visual apparatus;liver;kidney;mammary gland;stomach;cerebellum;thymus;</t>
  </si>
  <si>
    <t xml:space="preserve">amygdala;medulla oblongata;testis - interstitial;occipital lobe;superior cervical ganglion;cerebellum peduncles;pons;skeletal muscle;prostate;testis - seminiferous tubule;adrenal gland;thyroid;prefrontal cortex;globus pallidus;testis;cingulate cortex;cerebellum;</t>
  </si>
  <si>
    <t xml:space="preserve">GNA12</t>
  </si>
  <si>
    <t xml:space="preserve">smooth muscle;ovary;salivary gland;colon;parathyroid;fovea centralis;choroid;skin;retina;bone marrow;uterus;prostate;optic nerve;frontal lobe;larynx;bone;pituitary gland;testis;amniotic fluid;germinal center;brain;tonsil;unclassifiable (Anatomical System);lymph node;cartilage;heart;cerebellum cortex;hypothalamus;muscle;blood;lens;skeletal muscle;pancreas;lung;epididymis;placenta;macula lutea;visual apparatus;hippocampus;liver;spleen;head and neck;kidney;mammary gland;aorta;stomach;</t>
  </si>
  <si>
    <t xml:space="preserve">superior cervical ganglion;pons;atrioventricular node;trigeminal ganglion;</t>
  </si>
  <si>
    <t xml:space="preserve">GOLGA6L2</t>
  </si>
  <si>
    <t xml:space="preserve">lung;testis;</t>
  </si>
  <si>
    <t xml:space="preserve">GOLGB1</t>
  </si>
  <si>
    <t xml:space="preserve">lymphoreticular;smooth muscle;ovary;skin;retina;bone marrow;prostate;optic nerve;frontal lobe;endometrium;thyroid;iris;germinal center;brain;heart;cartilage;tongue;adrenal cortex;blood;lens;skeletal muscle;breast;macula lutea;visual apparatus;liver;alveolus;spleen;cervix;mammary gland;peripheral nerve;colon;parathyroid;fovea centralis;choroid;uterus;whole body;larynx;bone;testis;artery;pineal gland;unclassifiable (Anatomical System);oral cavity;bile duct;pancreas;lung;adrenal gland;nasopharynx;placenta;duodenum;hypopharynx;head and neck;kidney;stomach;aorta;</t>
  </si>
  <si>
    <t xml:space="preserve">medulla oblongata;testis - interstitial;subthalamic nucleus;superior cervical ganglion;globus pallidus;ciliary ganglion;atrioventricular node;pons;trigeminal ganglion;cingulate cortex;</t>
  </si>
  <si>
    <t xml:space="preserve">GPX5</t>
  </si>
  <si>
    <t xml:space="preserve">TISSUE SPECIFICITY: Epididymis.; </t>
  </si>
  <si>
    <t xml:space="preserve">GRIN3B</t>
  </si>
  <si>
    <t xml:space="preserve">GSN</t>
  </si>
  <si>
    <t xml:space="preserve">TISSUE SPECIFICITY: Phagocytic cells, platelets, fibroblasts, nonmuscle cells, smooth and skeletal muscle cells.; </t>
  </si>
  <si>
    <t xml:space="preserve">myocardium;ovary;sympathetic chain;skin;bone marrow;retina;prostate;optic nerve;frontal lobe;endometrium;thyroid;iris;germinal center;brain;heart;tongue;urinary;blood;lens;skeletal muscle;breast;epididymis;visual apparatus;macula lutea;liver;spleen;mammary gland;peripheral nerve;colon;parathyroid;choroid;fovea centralis;uterus;cerebral cortex;larynx;bone;pituitary gland;testis;spinal ganglion;unclassifiable (Anatomical System);lymph node;islets of Langerhans;hypothalamus;bile duct;pancreas;lung;placenta;hippocampus;amnion;head and neck;kidney;stomach;cerebellum;</t>
  </si>
  <si>
    <t xml:space="preserve">dorsal root ganglion;superior cervical ganglion;olfactory bulb;ciliary ganglion;atrioventricular node;trigeminal ganglion;</t>
  </si>
  <si>
    <t xml:space="preserve">GTF2H1</t>
  </si>
  <si>
    <t xml:space="preserve">lymphoreticular;smooth muscle;ovary;colon;parathyroid;skin;retina;bone marrow;uterus;prostate;atrium;whole body;cochlea;endometrium;bone;testis;amniotic fluid;germinal center;spinal ganglion;brain;unclassifiable (Anatomical System);amygdala;lymph node;cartilage;heart;islets of Langerhans;hypothalamus;adrenal cortex;blood;lens;skeletal muscle;bile duct;pancreas;lung;mesenchyma;placenta;visual apparatus;hippocampus;liver;spleen;cervix;kidney;mammary gland;stomach;peripheral nerve;</t>
  </si>
  <si>
    <t xml:space="preserve">dorsal root ganglion;testis - interstitial;superior cervical ganglion;subthalamic nucleus;testis - seminiferous tubule;testis;globus pallidus;pons;atrioventricular node;trigeminal ganglion;skeletal muscle;</t>
  </si>
  <si>
    <t xml:space="preserve">HAUS5</t>
  </si>
  <si>
    <t xml:space="preserve">ovary;colon;parathyroid;fovea centralis;choroid;skin;retina;bone marrow;uterus;prostate;optic nerve;frontal lobe;endometrium;thyroid;bone;testis;germinal center;brain;tonsil;unclassifiable (Anatomical System);muscle;blood;lens;pancreas;lung;placenta;macula lutea;liver;hypopharynx;head and neck;cervix;kidney;cerebellum;</t>
  </si>
  <si>
    <t xml:space="preserve">dorsal root ganglion;superior cervical ganglion;appendix;ciliary ganglion;atrioventricular node;pons;trigeminal ganglion;skeletal muscle;skin;</t>
  </si>
  <si>
    <t xml:space="preserve">HECTD4</t>
  </si>
  <si>
    <t xml:space="preserve">HLF</t>
  </si>
  <si>
    <t xml:space="preserve">TISSUE SPECIFICITY: Highly expressed in liver; lower levels in lung and kidney.; </t>
  </si>
  <si>
    <t xml:space="preserve">unclassifiable (Anatomical System);heart;islets of Langerhans;hypothalamus;fovea centralis;choroid;lens;skeletal muscle;retina;prostate;optic nerve;lung;frontal lobe;placenta;macula lutea;visual apparatus;liver;testis;head and neck;spleen;kidney;brain;mammary gland;</t>
  </si>
  <si>
    <t xml:space="preserve">whole brain;amygdala;thalamus;medulla oblongata;occipital lobe;superior cervical ganglion;temporal lobe;atrioventricular node;pons;caudate nucleus;subthalamic nucleus;prefrontal cortex;globus pallidus;trigeminal ganglion;parietal lobe;cingulate cortex;</t>
  </si>
  <si>
    <t xml:space="preserve">HSPA4</t>
  </si>
  <si>
    <t xml:space="preserve">lymphoreticular;ovary;skin;retina;bone marrow;prostate;optic nerve;frontal lobe;endometrium;thyroid;iris;germinal center;bladder;brain;heart;cartilage;tongue;urinary;adrenal cortex;pharynx;blood;lens;skeletal muscle;breast;trabecular meshwork;macula lutea;visual apparatus;liver;spleen;cervix;mammary gland;salivary gland;intestine;colon;fovea centralis;choroid;uterus;whole body;oesophagus;larynx;synovium;bone;testis;unclassifiable (Anatomical System);lymph node;small intestine;islets of Langerhans;muscle;bile duct;pancreas;lung;cornea;nasopharynx;placenta;head and neck;kidney;stomach;thymus;</t>
  </si>
  <si>
    <t xml:space="preserve">testis - interstitial;testis - seminiferous tubule;testis;cingulate cortex;</t>
  </si>
  <si>
    <t xml:space="preserve">HSPG2</t>
  </si>
  <si>
    <t xml:space="preserve">TISSUE SPECIFICITY: Found in the basement membranes.; </t>
  </si>
  <si>
    <t xml:space="preserve">HSPH1</t>
  </si>
  <si>
    <t xml:space="preserve">TISSUE SPECIFICITY: Highly expressed in testis. Present at lower levels in most brain regions, except cerebellum. Overexpressed in cancer cells. {ECO:0000269|PubMed:10865058, ECO:0000269|PubMed:16232202}.; </t>
  </si>
  <si>
    <t xml:space="preserve">lymphoreticular;smooth muscle;ovary;sympathetic chain;skin;retina;bone marrow;prostate;optic nerve;ganglion;frontal lobe;cochlea;endometrium;thyroid;iris;germinal center;bladder;brain;heart;cartilage;tongue;spinal cord;urinary;adrenal cortex;pharynx;blood;lens;skeletal muscle;breast;epididymis;macula lutea;visual apparatus;liver;alveolus;spleen;cervix;mammary gland;salivary gland;intestine;colon;parathyroid;fovea centralis;choroid;uterus;whole body;bone;pituitary gland;testis;dura mater;unclassifiable (Anatomical System);meninges;lymph node;islets of Langerhans;hypothalamus;oral cavity;pancreas;pia mater;lung;cornea;adrenal gland;placenta;hippocampus;head and neck;kidney;stomach;aorta;thymus;</t>
  </si>
  <si>
    <t xml:space="preserve">amygdala;testis - interstitial;occipital lobe;thalamus;medulla oblongata;hypothalamus;pons;atrioventricular node;caudate nucleus;subthalamic nucleus;testis - seminiferous tubule;fetal brain;prefrontal cortex;globus pallidus;testis;ciliary ganglion;cingulate cortex;parietal lobe;</t>
  </si>
  <si>
    <t xml:space="preserve">HYDIN</t>
  </si>
  <si>
    <t xml:space="preserve">unclassifiable (Anatomical System);lung;ovary;islets of Langerhans;thyroid;muscle;testis;kidney;brain;skeletal muscle;retina;</t>
  </si>
  <si>
    <t xml:space="preserve">dorsal root ganglion;subthalamic nucleus;superior cervical ganglion;cerebellum peduncles;globus pallidus;ciliary ganglion;atrioventricular node;trigeminal ganglion;skeletal muscle;parietal lobe;</t>
  </si>
  <si>
    <t xml:space="preserve">IDH1</t>
  </si>
  <si>
    <t xml:space="preserve">ovary;colon;parathyroid;vein;skin;retina;bone marrow;uterus;prostate;whole body;cochlea;cerebral cortex;endometrium;larynx;bone;thyroid;pituitary gland;testis;amniotic fluid;brain;bladder;unclassifiable (Anatomical System);lymph node;cartilage;heart;cerebellum cortex;urinary;adrenal cortex;blood;breast;bile duct;pancreas;lung;nasopharynx;placenta;visual apparatus;alveolus;hypopharynx;liver;cervix;spleen;head and neck;kidney;mammary gland;stomach;</t>
  </si>
  <si>
    <t xml:space="preserve">prostate;adipose tissue;adrenal gland;adrenal cortex;testis;kidney;</t>
  </si>
  <si>
    <t xml:space="preserve">IFT140</t>
  </si>
  <si>
    <t xml:space="preserve">ovary;colon;parathyroid;fovea centralis;choroid;skin;retina;bone marrow;uterus;prostate;frontal lobe;endometrium;thyroid;bone;testis;brain;tonsil;unclassifiable (Anatomical System);lymph node;cartilage;heart;blood;lens;breast;pancreas;lung;epididymis;placenta;macula lutea;visual apparatus;duodenum;kidney;mammary gland;stomach;thymus;</t>
  </si>
  <si>
    <t xml:space="preserve">IFT172</t>
  </si>
  <si>
    <t xml:space="preserve">ovary;colon;parathyroid;fovea centralis;choroid;skin;retina;bone marrow;uterus;prostate;optic nerve;whole body;frontal lobe;endometrium;larynx;thyroid;testis;brain;pineal gland;tonsil;unclassifiable (Anatomical System);lymph node;cartilage;heart;islets of Langerhans;blood;lens;skeletal muscle;breast;lung;nasopharynx;macula lutea;visual apparatus;liver;spleen;head and neck;cervix;kidney;mammary gland;stomach;thymus;</t>
  </si>
  <si>
    <t xml:space="preserve">IGF1R</t>
  </si>
  <si>
    <t xml:space="preserve">TISSUE SPECIFICITY: Found as a hybrid receptor with INSR in muscle, heart, kidney, adipose tissue, skeletal muscle, hepatoma, fibroblasts, spleen and placenta (at protein level). Expressed in a variety of tissues. Overexpressed in tumors, including melanomas, cancers of the colon, pancreas prostate and kidney. {ECO:0000269|PubMed:12019176, ECO:0000269|PubMed:8247543, ECO:0000269|PubMed:9202395, ECO:0000269|PubMed:9355755}.; </t>
  </si>
  <si>
    <t xml:space="preserve">ovary;colon;parathyroid;fovea centralis;choroid;skin;retina;uterus;optic nerve;frontal lobe;larynx;thyroid;bone;testis;brain;unclassifiable (Anatomical System);heart;islets of Langerhans;muscle;lens;skeletal muscle;bile duct;breast;pancreas;lung;epididymis;adrenal gland;placenta;macula lutea;liver;head and neck;kidney;mammary gland;</t>
  </si>
  <si>
    <t xml:space="preserve">superior cervical ganglion;prostate;prefrontal cortex;</t>
  </si>
  <si>
    <t xml:space="preserve">IGSF3</t>
  </si>
  <si>
    <t xml:space="preserve">TISSUE SPECIFICITY: Expressed in a wide range of tissues with High expression in Placenta, kidney and lung. {ECO:0000269|PubMed:9790749}.; </t>
  </si>
  <si>
    <t xml:space="preserve">unclassifiable (Anatomical System);skeletal muscle;skin;retina;whole body;lung;placenta;thyroid;bone;hypopharynx;head and neck;kidney;brain;mammary gland;stomach;</t>
  </si>
  <si>
    <t xml:space="preserve">superior cervical ganglion;fetal brain;placenta;ciliary ganglion;skeletal muscle;</t>
  </si>
  <si>
    <t xml:space="preserve">IL24</t>
  </si>
  <si>
    <t xml:space="preserve">TISSUE SPECIFICITY: Up-regulated in melanoma cells induced to terminally differentiate.; </t>
  </si>
  <si>
    <t xml:space="preserve">unclassifiable (Anatomical System);lymph node;cartilage;colon;blood;bile duct;uterus;pancreas;prostate;lung;bone;placenta;germinal center;mammary gland;aorta;stomach;gall bladder;</t>
  </si>
  <si>
    <t xml:space="preserve">superior cervical ganglion;smooth muscle;</t>
  </si>
  <si>
    <t xml:space="preserve">INO80C</t>
  </si>
  <si>
    <t xml:space="preserve">unclassifiable (Anatomical System);heart;ovary;islets of Langerhans;hypothalamus;parathyroid;skin;uterus;prostate;lung;adrenal gland;bone;placenta;visual apparatus;liver;spleen;kidney;brain;stomach;</t>
  </si>
  <si>
    <t xml:space="preserve">INPP5A</t>
  </si>
  <si>
    <t xml:space="preserve">TISSUE SPECIFICITY: Brain; high level in Purkinje cells.; </t>
  </si>
  <si>
    <t xml:space="preserve">myocardium;smooth muscle;ovary;colon;parathyroid;fovea centralis;choroid;skin;retina;bone marrow;uterus;prostate;optic nerve;endometrium;synovium;bone;thyroid;testis;germinal center;brain;unclassifiable (Anatomical System);lymph node;cartilage;heart;cerebellum cortex;islets of Langerhans;adrenal cortex;blood;lens;pancreas;lung;placenta;macula lutea;visual apparatus;liver;spleen;head and neck;kidney;mammary gland;stomach;</t>
  </si>
  <si>
    <t xml:space="preserve">whole brain;thalamus;superior cervical ganglion;medulla oblongata;cerebellum peduncles;caudate nucleus;pons;cingulate cortex;parietal lobe;cerebellum;</t>
  </si>
  <si>
    <t xml:space="preserve">INPP5J</t>
  </si>
  <si>
    <t xml:space="preserve">unclassifiable (Anatomical System);lymph node;cartilage;tongue;islets of Langerhans;colon;parathyroid;choroid;skeletal muscle;retina;uterus;breast;prostate;lung;endometrium;thyroid;liver;head and neck;cervix;kidney;brain;mammary gland;</t>
  </si>
  <si>
    <t xml:space="preserve">superior cervical ganglion;cerebellum peduncles;thyroid;ciliary ganglion;atrioventricular node;fetal thyroid;</t>
  </si>
  <si>
    <t xml:space="preserve">IPO13</t>
  </si>
  <si>
    <t xml:space="preserve">TISSUE SPECIFICITY: Expressed in fetal brain, heart, intestine and kidney. {ECO:0000269|PubMed:10745026}.; </t>
  </si>
  <si>
    <t xml:space="preserve">IRX5</t>
  </si>
  <si>
    <t xml:space="preserve">unclassifiable (Anatomical System);heart;skin;retina;uterus;lung;endometrium;bone;testis;kidney;mammary gland;brain;thymus;</t>
  </si>
  <si>
    <t xml:space="preserve">superior cervical ganglion;globus pallidus;atrioventricular node;</t>
  </si>
  <si>
    <t xml:space="preserve">ITGA6</t>
  </si>
  <si>
    <t xml:space="preserve">TISSUE SPECIFICITY: Integrin alpha-6/beta-4 is predominantly expressed by epithelia. Isoforms containing segment X1 are ubiquitously expressed. Isoforms containing segment X1X2 are expressed in heart, kidney, placenta, colon, duodenum, myoblasts and myotubes, and in a limited number of cell lines; they are always coexpressed with the ubiquitous isoform containing segment X1. In some tissues (e.g. Salivary gland), isoforms containing cytoplasmic segment A and isoforms containing segment B are detected while in others, only isoforms containing one cytoplasmic segment are found (segment A in epidermis and segment B in kidney). {ECO:0000269|PubMed:7681434}.; </t>
  </si>
  <si>
    <t xml:space="preserve">myocardium;medulla oblongata;ovary;sympathetic chain;rectum;skin;retina;bone marrow;prostate;optic nerve;cochlea;endometrium;thyroid;bladder;brain;gall bladder;heart;cartilage;tongue;spinal cord;adrenal cortex;pharynx;blood;lens;skeletal muscle;breast;epididymis;macula lutea;visual apparatus;liver;spleen;mammary gland;salivary gland;intestine;colon;parathyroid;fovea centralis;choroid;uterus;cerebral cortex;bone;testis;spinal ganglion;pineal gland;unclassifiable (Anatomical System);lymph node;islets of Langerhans;bile duct;pancreas;lung;cornea;adrenal gland;placenta;hippocampus;duodenum;hypopharynx;head and neck;kidney;stomach;</t>
  </si>
  <si>
    <t xml:space="preserve">ITGA7</t>
  </si>
  <si>
    <t xml:space="preserve">TISSUE SPECIFICITY: Isoforms containing segment A are predominantly expressed in skeletal muscle. Isoforms containing segment B are abundantly expressed in skeletal muscle, moderately in cardiac muscle, small intestine, colon, ovary and prostate and weakly in lung and testes. Isoforms containing segment X2D are expressed at low levels in fetal and adult skeletal muscle and in cardiac muscle, but are not detected in myoblasts and myotubes. In muscle fibers isoforms containing segment A and B are expressed at myotendinous and neuromuscular junctions; isoforms containing segment C are expressed at neuromuscular junctions and at extrasynaptic sites. Isoforms containing segments X1 or X2 or, at low levels, X1X2 are expressed in fetal and adult skeletal muscle (myoblasts and myotubes) and cardiac muscle. {ECO:0000269|PubMed:8626012}.; </t>
  </si>
  <si>
    <t xml:space="preserve">myocardium;medulla oblongata;ovary;sympathetic chain;colon;fovea centralis;choroid;skin;retina;bone marrow;uterus;prostate;subthalamic nucleus;optic nerve;endometrium;cerebral cortex;thyroid;bone;testis;brain;unclassifiable (Anatomical System);heart;muscle;lens;skeletal muscle;lung;placenta;macula lutea;hippocampus;liver;spleen;kidney;stomach;</t>
  </si>
  <si>
    <t xml:space="preserve">amygdala;olfactory bulb;adipose tissue;tongue;spinal cord;ciliary ganglion;atrioventricular node;caudate nucleus;skeletal muscle;</t>
  </si>
  <si>
    <t xml:space="preserve">ITPR1</t>
  </si>
  <si>
    <t xml:space="preserve">ovary;parathyroid;fovea centralis;choroid;skin;retina;bone marrow;uterus;prostate;optic nerve;whole body;frontal lobe;cochlea;endometrium;thyroid;bone;pituitary gland;testis;germinal center;brain;artery;bladder;unclassifiable (Anatomical System);lymph node;cartilage;heart;lacrimal gland;cerebellum cortex;islets of Langerhans;hypothalamus;blood;lens;skeletal muscle;pancreas;lung;adrenal gland;trabecular meshwork;placenta;macula lutea;liver;cervix;spleen;kidney;mammary gland;aorta;</t>
  </si>
  <si>
    <t xml:space="preserve">whole brain;amygdala;occipital lobe;medulla oblongata;cerebellum peduncles;temporal lobe;pons;caudate nucleus;subthalamic nucleus;thyroid;prefrontal cortex;globus pallidus;ciliary ganglion;parietal lobe;cingulate cortex;cerebellum;</t>
  </si>
  <si>
    <t xml:space="preserve">IZUMO4</t>
  </si>
  <si>
    <t xml:space="preserve">TISSUE SPECIFICITY: Detected in sperm. {ECO:0000269|Ref.1}.; </t>
  </si>
  <si>
    <t xml:space="preserve">unclassifiable (Anatomical System);medulla oblongata;lung;ovary;cerebral cortex;oesophagus;hypothalamus;placenta;iris;testis;parathyroid;germinal center;brain;</t>
  </si>
  <si>
    <t xml:space="preserve">testis - interstitial;testis - seminiferous tubule;testis;</t>
  </si>
  <si>
    <t xml:space="preserve">KCMF1</t>
  </si>
  <si>
    <t xml:space="preserve">KCNN4</t>
  </si>
  <si>
    <t xml:space="preserve">TISSUE SPECIFICITY: Widely expressed in non-excitable tissues.; </t>
  </si>
  <si>
    <t xml:space="preserve">unclassifiable (Anatomical System);cartilage;ovary;lacrimal gland;developmental;colon;parathyroid;blood;skin;bone marrow;pancreas;prostate;optic nerve;lung;endometrium;bone;placenta;visual apparatus;liver;testis;spleen;germinal center;brain;mammary gland;stomach;</t>
  </si>
  <si>
    <t xml:space="preserve">trachea;placenta;ciliary ganglion;</t>
  </si>
  <si>
    <t xml:space="preserve">KCTD16</t>
  </si>
  <si>
    <t xml:space="preserve">KDM5A</t>
  </si>
  <si>
    <t xml:space="preserve">lymphoreticular;ovary;colon;fovea centralis;choroid;skin;retina;bone marrow;uterus;prostate;optic nerve;endometrium;thyroid;bone;testis;germinal center;brain;bladder;unclassifiable (Anatomical System);amygdala;cartilage;heart;islets of Langerhans;blood;lens;skeletal muscle;breast;pancreas;lung;nasopharynx;placenta;macula lutea;visual apparatus;liver;spleen;kidney;stomach;peripheral nerve;</t>
  </si>
  <si>
    <t xml:space="preserve">testis - interstitial;superior cervical ganglion;testis - seminiferous tubule;prefrontal cortex;testis;white blood cells;fetal thyroid;whole blood;trigeminal ganglion;</t>
  </si>
  <si>
    <t xml:space="preserve">unclassifiable (Anatomical System);prostate;pancreas;optic nerve;cartilage;heart;cerebral cortex;endometrium;iris;brain;retina;cerebellum;</t>
  </si>
  <si>
    <t xml:space="preserve">unclassifiable (Anatomical System);lung;ovary;endometrium;islets of Langerhans;placenta;parathyroid;kidney;brain;skeletal muscle;</t>
  </si>
  <si>
    <t xml:space="preserve">dorsal root ganglion;superior cervical ganglion;ciliary ganglion;atrioventricular node;trigeminal ganglion;</t>
  </si>
  <si>
    <t xml:space="preserve">KIF1B</t>
  </si>
  <si>
    <t xml:space="preserve">TISSUE SPECIFICITY: Isoform 3 is abundant in the skeletal muscle. It is also expressed in fetal brain, lung and kidney, and adult heart, placenta, testis, ovary and small intestine. Isoform 2 is abundant in the brain and also expressed in fetal heart, lung, liver and kidney, and adult skeletal muscle, placenta, liver, kidney, heart, spleen, thymus, prostate, testis, ovary, small intestine, colon and pancreas. {ECO:0000269|PubMed:10762626, ECO:0000269|PubMed:11526494, ECO:0000269|PubMed:12888911}.; </t>
  </si>
  <si>
    <t xml:space="preserve">ovary;colon;parathyroid;fovea centralis;skin;retina;bone marrow;uterus;prostate;optic nerve;whole body;frontal lobe;endometrium;larynx;gum;bone;thyroid;testis;amniotic fluid;germinal center;spinal ganglion;brain;unclassifiable (Anatomical System);amygdala;cartilage;heart;cerebellum cortex;islets of Langerhans;hypothalamus;spinal cord;adrenal cortex;blood;skeletal muscle;breast;lung;placenta;macula lutea;visual apparatus;hippocampus;liver;head and neck;kidney;mammary gland;stomach;cerebellum;</t>
  </si>
  <si>
    <t xml:space="preserve">amygdala;whole brain;thalamus;occipital lobe;medulla oblongata;cerebellum peduncles;hypothalamus;temporal lobe;spinal cord;pons;caudate nucleus;subthalamic nucleus;fetal brain;prefrontal cortex;globus pallidus;cingulate cortex;parietal lobe;cerebellum;</t>
  </si>
  <si>
    <t xml:space="preserve">KIF1C</t>
  </si>
  <si>
    <t xml:space="preserve">TISSUE SPECIFICITY: Expressed in all tissues examined, with most abundant expression in heart and skeletal muscle. {ECO:0000269|PubMed:9685376}.; </t>
  </si>
  <si>
    <t xml:space="preserve">myocardium;ovary;colon;fovea centralis;choroid;skin;retina;uterus;prostate;optic nerve;frontal lobe;endometrium;thyroid;bone;iris;testis;germinal center;brain;bladder;unclassifiable (Anatomical System);lymph node;heart;tongue;lens;skeletal muscle;breast;pancreas;lung;placenta;macula lutea;visual apparatus;hippocampus;liver;spleen;head and neck;kidney;mammary gland;stomach;cerebellum;</t>
  </si>
  <si>
    <t xml:space="preserve">superior cervical ganglion;uterus corpus;thalamus;medulla oblongata;heart;spinal cord;ciliary ganglion;trigeminal ganglion;skeletal muscle;parietal lobe;</t>
  </si>
  <si>
    <t xml:space="preserve">KIF26A</t>
  </si>
  <si>
    <t xml:space="preserve">unclassifiable (Anatomical System);heart;muscle;skin;retina;uterus;pancreas;whole body;lung;placenta;visual apparatus;duodenum;spleen;brain;stomach;</t>
  </si>
  <si>
    <t xml:space="preserve">superior cervical ganglion;ciliary ganglion;atrioventricular node;</t>
  </si>
  <si>
    <t xml:space="preserve">KIF5C</t>
  </si>
  <si>
    <t xml:space="preserve">TISSUE SPECIFICITY: Highest expression in brain, prostate and testis, and moderate expression in kidney, small intestine and ovary.; </t>
  </si>
  <si>
    <t xml:space="preserve">KIR2DL1</t>
  </si>
  <si>
    <t xml:space="preserve">0.184502116558515</t>
  </si>
  <si>
    <t xml:space="preserve">killer cell immunoglobulin like receptor, two Ig domains and long cytoplasmic tail 1</t>
  </si>
  <si>
    <t xml:space="preserve">FUNCTION: Receptor on natural killer (NK) cells for HLA-C alleles. Inhibits the activity of NK cells thus preventing cell lysis. {ECO:0000269|PubMed:18604210}.; </t>
  </si>
  <si>
    <t xml:space="preserve">breast;unclassifiable (Anatomical System);blood;</t>
  </si>
  <si>
    <t xml:space="preserve">KIR2DL3</t>
  </si>
  <si>
    <t xml:space="preserve">0.0380264991528057</t>
  </si>
  <si>
    <t xml:space="preserve">killer cell immunoglobulin like receptor, two Ig domains and long cytoplasmic tail 3</t>
  </si>
  <si>
    <t xml:space="preserve">FUNCTION: Receptor on natural killer (NK) cells for HLA-C alleles (HLA-Cw1, HLA-Cw3 and HLA-Cw7). Inhibits the activity of NK cells thus preventing cell lysis.; </t>
  </si>
  <si>
    <t xml:space="preserve">KIR2DL4</t>
  </si>
  <si>
    <t xml:space="preserve">KLHL1</t>
  </si>
  <si>
    <t xml:space="preserve">TISSUE SPECIFICITY: Highly expressed in brain.; </t>
  </si>
  <si>
    <t xml:space="preserve">KMT5A</t>
  </si>
  <si>
    <t xml:space="preserve">KRT24</t>
  </si>
  <si>
    <t xml:space="preserve">TISSUE SPECIFICITY: Highly expressed in keratinocytes, placenta, colon and spleen. Expressed at lower level in thymus and testis. {ECO:0000269|PubMed:12230514}.; </t>
  </si>
  <si>
    <t xml:space="preserve">heart;fovea centralis;choroid;lens;skin;retina;uterus;optic nerve;lung;placenta;macula lutea;hypopharynx;testis;head and neck;</t>
  </si>
  <si>
    <t xml:space="preserve">superior cervical ganglion;placenta;atrioventricular node;trigeminal ganglion;skeletal muscle;</t>
  </si>
  <si>
    <t xml:space="preserve">KRT82</t>
  </si>
  <si>
    <t xml:space="preserve">heart;</t>
  </si>
  <si>
    <t xml:space="preserve">dorsal root ganglion;superior cervical ganglion;ciliary ganglion;atrioventricular node;trigeminal ganglion;skin;</t>
  </si>
  <si>
    <t xml:space="preserve">LAMA1</t>
  </si>
  <si>
    <t xml:space="preserve">ovary;salivary gland;colon;fovea centralis;choroid;skin;retina;bone marrow;uterus;prostate;optic nerve;whole body;thyroid;bone;testis;brain;bladder;unclassifiable (Anatomical System);heart;cartilage;pharynx;blood;lens;skeletal muscle;breast;lung;cornea;placenta;macula lutea;visual apparatus;liver;hypopharynx;head and neck;kidney;</t>
  </si>
  <si>
    <t xml:space="preserve">dorsal root ganglion;subthalamic nucleus;superior cervical ganglion;testis - seminiferous tubule;globus pallidus;testis;ciliary ganglion;pons;atrioventricular node;trigeminal ganglion;</t>
  </si>
  <si>
    <t xml:space="preserve">LAMA2</t>
  </si>
  <si>
    <t xml:space="preserve">TISSUE SPECIFICITY: Placenta, striated muscle, peripheral nerve, cardiac muscle, pancreas, lung, spleen, kidney, adrenal gland, skin, testis, meninges, choroid plexus, and some other regions of the brain; not in liver, thymus and bone.; </t>
  </si>
  <si>
    <t xml:space="preserve">ovary;colon;parathyroid;fovea centralis;choroid;skin;retina;uterus;optic nerve;whole body;frontal lobe;cochlea;cerebral cortex;endometrium;larynx;thyroid;bone;testis;brain;gall bladder;unclassifiable (Anatomical System);heart;islets of Langerhans;adrenal cortex;lens;skeletal muscle;pancreas;lung;placenta;macula lutea;visual apparatus;liver;spleen;head and neck;cervix;kidney;stomach;</t>
  </si>
  <si>
    <t xml:space="preserve">dorsal root ganglion;superior cervical ganglion;adipose tissue;testis - seminiferous tubule;ciliary ganglion;atrioventricular node;trigeminal ganglion;skeletal muscle;</t>
  </si>
  <si>
    <t xml:space="preserve">LAMA5</t>
  </si>
  <si>
    <t xml:space="preserve">TISSUE SPECIFICITY: Expressed in heart, lung, kidney, skeletal muscle, pancreas, retina and placenta. Little or no expression in brain and liver.; </t>
  </si>
  <si>
    <t xml:space="preserve">ovary;adrenal medulla;colon;parathyroid;skin;uterus;prostate;whole body;frontal lobe;oesophagus;endometrium;larynx;thyroid;testis;dura mater;germinal center;spinal ganglion;brain;bladder;gall bladder;unclassifiable (Anatomical System);meninges;cartilage;heart;islets of Langerhans;urinary;blood;lens;breast;pancreas;pia mater;lung;epididymis;placenta;visual apparatus;liver;spleen;head and neck;cervix;kidney;stomach;</t>
  </si>
  <si>
    <t xml:space="preserve">LAMC3</t>
  </si>
  <si>
    <t xml:space="preserve">TISSUE SPECIFICITY: Broadly expressed in: skin, heart, lung, and the reproductive tracts.; </t>
  </si>
  <si>
    <t xml:space="preserve">unclassifiable (Anatomical System);ovary;heart;cartilage;islets of Langerhans;colon;parathyroid;choroid;skin;uterus;pancreas;whole body;optic nerve;lung;frontal lobe;larynx;placenta;visual apparatus;liver;testis;head and neck;brain;gall bladder;</t>
  </si>
  <si>
    <t xml:space="preserve">dorsal root ganglion;superior cervical ganglion;testis - seminiferous tubule;placenta;adrenal cortex;testis;</t>
  </si>
  <si>
    <t xml:space="preserve">LBP</t>
  </si>
  <si>
    <t xml:space="preserve">TISSUE SPECIFICITY: Detected in blood serum (at protein level). {ECO:0000269|PubMed:2402637, ECO:0000269|PubMed:24120359}.; </t>
  </si>
  <si>
    <t xml:space="preserve">unclassifiable (Anatomical System);pancreas;liver;colon;spleen;kidney;skeletal muscle;gall bladder;stomach;</t>
  </si>
  <si>
    <t xml:space="preserve">fetal liver;superior cervical ganglion;testis - interstitial;liver;fetal lung;ciliary ganglion;pons;trigeminal ganglion;skeletal muscle;</t>
  </si>
  <si>
    <t xml:space="preserve">LCA5L</t>
  </si>
  <si>
    <t xml:space="preserve">unclassifiable (Anatomical System);lung;placenta;testis;colon;kidney;stomach;retina;</t>
  </si>
  <si>
    <t xml:space="preserve">testis - interstitial;superior cervical ganglion;testis - seminiferous tubule;testis;ciliary ganglion;atrioventricular node;skin;</t>
  </si>
  <si>
    <t xml:space="preserve">LEXM</t>
  </si>
  <si>
    <t xml:space="preserve">LGR6</t>
  </si>
  <si>
    <t xml:space="preserve">unclassifiable (Anatomical System);heart;ovary;tongue;colon;skin;bone marrow;uterus;lung;larynx;visual apparatus;testis;head and neck;brain;</t>
  </si>
  <si>
    <t xml:space="preserve">globus pallidus;ciliary ganglion;atrioventricular node;</t>
  </si>
  <si>
    <t xml:space="preserve">LIFR</t>
  </si>
  <si>
    <t xml:space="preserve">unclassifiable (Anatomical System);ovary;parathyroid;skeletal muscle;prostate;whole body;lung;frontal lobe;endometrium;larynx;placenta;liver;testis;head and neck;spleen;kidney;spinal ganglion;brain;stomach;</t>
  </si>
  <si>
    <t xml:space="preserve">trigeminal ganglion;</t>
  </si>
  <si>
    <t xml:space="preserve">LIMD1</t>
  </si>
  <si>
    <t xml:space="preserve">TISSUE SPECIFICITY: Expressed in normal and breast cancer tissues (at protein level). Ubiquitous. {ECO:0000269|PubMed:10647888, ECO:0000269|PubMed:18712738}.; </t>
  </si>
  <si>
    <t xml:space="preserve">unclassifiable (Anatomical System);medulla oblongata;ovary;adrenal cortex;colon;skin;skeletal muscle;bone marrow;uterus;pancreas;whole body;lung;nasopharynx;thyroid;placenta;visual apparatus;hypopharynx;liver;testis;cervix;head and neck;spleen;germinal center;brain;stomach;</t>
  </si>
  <si>
    <t xml:space="preserve">dorsal root ganglion;superior cervical ganglion;ciliary ganglion;atrioventricular node;trigeminal ganglion;skeletal muscle;</t>
  </si>
  <si>
    <t xml:space="preserve">LMF1</t>
  </si>
  <si>
    <t xml:space="preserve">lipase maturation factor 1</t>
  </si>
  <si>
    <t xml:space="preserve">unclassifiable (Anatomical System);heart;ovary;colon;choroid;skin;retina;greater omentum;uterus;prostate;optic nerve;lung;endometrium;thyroid;placenta;liver;testis;spleen;germinal center;kidney;brain;</t>
  </si>
  <si>
    <t xml:space="preserve">amygdala;occipital lobe;superior cervical ganglion;testis - seminiferous tubule;liver;globus pallidus;appendix;parietal lobe;</t>
  </si>
  <si>
    <t xml:space="preserve">LMF1-AS1</t>
  </si>
  <si>
    <t xml:space="preserve">LMF1 antisense RNA 1</t>
  </si>
  <si>
    <t xml:space="preserve">LMO7</t>
  </si>
  <si>
    <t xml:space="preserve">TISSUE SPECIFICITY: Widely expressed. Isoform 2 and isoform 4 are predominantly expressed in brain. {ECO:0000269|PubMed:11935316, ECO:0000269|PubMed:9826547}.; </t>
  </si>
  <si>
    <t xml:space="preserve">ovary;colon;fovea centralis;choroid;skin;retina;bone marrow;uterus;prostate;optic nerve;whole body;frontal lobe;endometrium;bone;thyroid;testis;brain;gall bladder;unclassifiable (Anatomical System);amygdala;cartilage;heart;tongue;islets of Langerhans;urinary;lens;skeletal muscle;breast;pancreas;lung;adrenal gland;nasopharynx;placenta;macula lutea;visual apparatus;liver;spleen;head and neck;kidney;mammary gland;stomach;aorta;</t>
  </si>
  <si>
    <t xml:space="preserve">globus pallidus;trigeminal ganglion;skeletal muscle;</t>
  </si>
  <si>
    <t xml:space="preserve">LRRC37B</t>
  </si>
  <si>
    <t xml:space="preserve">lymphoreticular;medulla oblongata;colon;skin;uterus;prostate;whole body;frontal lobe;cochlea;endometrium;larynx;thyroid;pituitary gland;testis;germinal center;brain;unclassifiable (Anatomical System);heart;blood;breast;lung;visual apparatus;liver;spleen;head and neck;cervix;kidney;stomach;</t>
  </si>
  <si>
    <t xml:space="preserve">dorsal root ganglion;superior cervical ganglion;subthalamic nucleus;testis - interstitial;globus pallidus;testis;ciliary ganglion;atrioventricular node;skin;skeletal muscle;</t>
  </si>
  <si>
    <t xml:space="preserve">LRRC45</t>
  </si>
  <si>
    <t xml:space="preserve">medulla oblongata;ovary;colon;parathyroid;fovea centralis;choroid;skin;retina;bone marrow;uterus;prostate;optic nerve;endometrium;testis;spinal ganglion;brain;unclassifiable (Anatomical System);lymph node;cartilage;lens;pancreas;lung;placenta;macula lutea;visual apparatus;liver;spleen;cervix;mammary gland;stomach;</t>
  </si>
  <si>
    <t xml:space="preserve">LRRC47</t>
  </si>
  <si>
    <t xml:space="preserve">LRRC75B</t>
  </si>
  <si>
    <t xml:space="preserve">LRRN1</t>
  </si>
  <si>
    <t xml:space="preserve">unclassifiable (Anatomical System);heart;blood;choroid;lens;skeletal muscle;retina;bone marrow;prostate;whole body;lung;cochlea;larynx;bone;visual apparatus;iris;alveolus;testis;head and neck;spleen;kidney;brain;</t>
  </si>
  <si>
    <t xml:space="preserve">dorsal root ganglion;superior cervical ganglion;trigeminal ganglion;</t>
  </si>
  <si>
    <t xml:space="preserve">LSP1</t>
  </si>
  <si>
    <t xml:space="preserve">TISSUE SPECIFICITY: Activated T-lymphocytes.; </t>
  </si>
  <si>
    <t xml:space="preserve">lymphoreticular;myocardium;smooth muscle;ovary;salivary gland;intestine;colon;parathyroid;fovea centralis;choroid;skin;retina;bone marrow;uterus;prostate;optic nerve;synovium;bone;thyroid;testis;germinal center;brain;tonsil;unclassifiable (Anatomical System);lymph node;cartilage;heart;islets of Langerhans;hypothalamus;urinary;adrenal cortex;pharynx;blood;lens;pancreas;lung;cornea;epididymis;placenta;macula lutea;visual apparatus;alveolus;liver;cervix;spleen;head and neck;kidney;mammary gland;stomach;thymus;</t>
  </si>
  <si>
    <t xml:space="preserve">lymph node;adrenal gland;adrenal cortex;white blood cells;whole blood;tonsil;thymus;bone marrow;</t>
  </si>
  <si>
    <t xml:space="preserve">LTBP4</t>
  </si>
  <si>
    <t xml:space="preserve">TISSUE SPECIFICITY: Highly expressed in heart, skeletal muscle, pancreas, uterus, and small intestine. Weakly expressed in placenta and lung. {ECO:0000269|PubMed:9271198, ECO:0000269|PubMed:9660815}.; </t>
  </si>
  <si>
    <t xml:space="preserve">medulla oblongata;ovary;colon;parathyroid;fovea centralis;choroid;skin;retina;bone marrow;uterus;prostate;optic nerve;whole body;cerebral cortex;endometrium;bone;thyroid;iris;testis;germinal center;spinal ganglion;brain;tonsil;unclassifiable (Anatomical System);cartilage;heart;tongue;islets of Langerhans;muscle;blood;lens;pancreas;lung;placenta;macula lutea;visual apparatus;liver;spleen;head and neck;cervix;kidney;mammary gland;stomach;</t>
  </si>
  <si>
    <t xml:space="preserve">uterus;superior cervical ganglion;thyroid;</t>
  </si>
  <si>
    <t xml:space="preserve">LUC7L</t>
  </si>
  <si>
    <t xml:space="preserve">0.164212796735953</t>
  </si>
  <si>
    <t xml:space="preserve">LUC7-like</t>
  </si>
  <si>
    <t xml:space="preserve">FUNCTION: May bind to RNA via its Arg/Ser-rich domain. {ECO:0000269|PubMed:11170747}.; </t>
  </si>
  <si>
    <t xml:space="preserve">TISSUE SPECIFICITY: Ubiquitous. {ECO:0000269|PubMed:11170747}.; </t>
  </si>
  <si>
    <t xml:space="preserve">smooth muscle;fovea centralis;choroid;skin;retina;uterus;optic nerve;whole body;frontal lobe;endometrium;thyroid;bone;testis;brain;unclassifiable (Anatomical System);heart;lacrimal gland;islets of Langerhans;lens;breast;pancreas;lung;epididymis;placenta;macula lutea;hippocampus;visual apparatus;liver;cervix;spleen;kidney;mammary gland;stomach;</t>
  </si>
  <si>
    <t xml:space="preserve">LYSMD2</t>
  </si>
  <si>
    <t xml:space="preserve">medulla oblongata;smooth muscle;ovary;colon;skin;bone marrow;uterus;prostate;optic nerve;frontal lobe;endometrium;testis;brain;unclassifiable (Anatomical System);lymph node;heart;cartilage;islets of Langerhans;pancreas;lung;placenta;liver;alveolus;spleen;cervix;kidney;mammary gland;stomach;</t>
  </si>
  <si>
    <t xml:space="preserve">whole brain;amygdala;subthalamic nucleus;superior cervical ganglion;temporal lobe;globus pallidus;ciliary ganglion;cingulate cortex;cerebellum;</t>
  </si>
  <si>
    <t xml:space="preserve">LYZ</t>
  </si>
  <si>
    <t xml:space="preserve">lymphoreticular;ovary;salivary gland;intestine;colon;parathyroid;skin;bone marrow;prostate;larynx;thyroid;brain;pineal gland;bladder;gall bladder;unclassifiable (Anatomical System);heart;small intestine;lacrimal gland;islets of Langerhans;adrenal cortex;pharynx;blood;skeletal muscle;breast;pancreas;lung;adrenal gland;nasopharynx;placenta;visual apparatus;liver;spleen;head and neck;kidney;stomach;</t>
  </si>
  <si>
    <t xml:space="preserve">lymph node;trachea;salivary gland;thyroid;white blood cells;whole blood;tonsil;bone marrow;thymus;</t>
  </si>
  <si>
    <t xml:space="preserve">LZTR1</t>
  </si>
  <si>
    <t xml:space="preserve">ovary;colon;choroid;vein;skin;retina;uterus;prostate;optic nerve;bone;thyroid;iris;testis;germinal center;brain;unclassifiable (Anatomical System);amygdala;trophoblast;cartilage;heart;tongue;islets of Langerhans;adrenal cortex;blood;breast;pancreas;lung;placenta;visual apparatus;liver;alveolus;head and neck;cervix;kidney;mammary gland;stomach;thymus;</t>
  </si>
  <si>
    <t xml:space="preserve">MAGIX</t>
  </si>
  <si>
    <t xml:space="preserve">MALT1</t>
  </si>
  <si>
    <t xml:space="preserve">TISSUE SPECIFICITY: Highly expressed in peripheral blood mononuclear cells. Detected at lower levels in bone marrow, thymus and lymph node, and at very low levels in colon and lung.; </t>
  </si>
  <si>
    <t xml:space="preserve">unclassifiable (Anatomical System);cartilage;islets of Langerhans;urinary;colon;skeletal muscle;breast;bile duct;prostate;pancreas;lung;endometrium;bone;placenta;visual apparatus;liver;testis;spleen;germinal center;kidney;mammary gland;artery;aorta;peripheral nerve;</t>
  </si>
  <si>
    <t xml:space="preserve">dorsal root ganglion;superior cervical ganglion;testis - interstitial;testis - seminiferous tubule;testis;tumor;white blood cells;ciliary ganglion;atrioventricular node;tonsil;skeletal muscle;</t>
  </si>
  <si>
    <t xml:space="preserve">MAP2K1</t>
  </si>
  <si>
    <t xml:space="preserve">0.994501270366062</t>
  </si>
  <si>
    <t xml:space="preserve">mitogen-activated protein kinase kinase 1</t>
  </si>
  <si>
    <t xml:space="preserve">FUNCTION: Dual specificity protein kinase which acts as an essential component of the MAP kinase signal transduction pathway. Binding of extracellular ligands such as growth factors, cytokines and hormones to their cell-surface receptors activates RAS and this initiates RAF1 activation. RAF1 then further activates the dual-specificity protein kinases MAP2K1/MEK1 and MAP2K2/MEK2. Both MAP2K1/MEK1 and MAP2K2/MEK2 function specifically in the MAPK/ERK cascade, and catalyze the concomitant phosphorylation of a threonine and a tyrosine residue in a Thr-Glu-Tyr sequence located in the extracellular signal-regulated kinases MAPK3/ERK1 and MAPK1/ERK2, leading to their activation and further transduction of the signal within the MAPK/ERK cascade. Depending on the cellular context, this pathway mediates diverse biological functions such as cell growth, adhesion, survival and differentiation, predominantly through the regulation of transcription, metabolism and cytoskeletal rearrangements. One target of the MAPK/ERK cascade is peroxisome proliferator- activated receptor gamma (PPARG), a nuclear receptor that promotes differentiation and apoptosis. MAP2K1/MEK1 has been shown to export PPARG from the nucleus. The MAPK/ERK cascade is also involved in the regulation of endosomal dynamics, including lysosome processing and endosome cycling through the perinuclear recycling compartment (PNRC), as well as in the fragmentation of the Golgi apparatus during mitosis. {ECO:0000269|PubMed:14737111, ECO:0000269|PubMed:17101779}.; </t>
  </si>
  <si>
    <t xml:space="preserve">TISSUE SPECIFICITY: Widely expressed, with extremely low levels in brain. {ECO:0000269|PubMed:1281467}.; </t>
  </si>
  <si>
    <t xml:space="preserve">ovary;sympathetic chain;skin;bone marrow;retina;prostate;optic nerve;endometrium;thyroid;germinal center;bladder;brain;heart;cartilage;tongue;pineal body;pharynx;blood;lens;skeletal muscle;breast;trabecular meshwork;visual apparatus;macula lutea;liver;spleen;mammary gland;salivary gland;intestine;colon;parathyroid;choroid;fovea centralis;uterus;whole body;bone;testis;unclassifiable (Anatomical System);lymph node;islets of Langerhans;hypothalamus;pancreas;lung;nasopharynx;placenta;hippocampus;head and neck;kidney;stomach;aorta;thymus;</t>
  </si>
  <si>
    <t xml:space="preserve">whole brain;amygdala;thalamus;occipital lobe;medulla oblongata;cerebellum peduncles;hypothalamus;temporal lobe;caudate nucleus;subthalamic nucleus;prefrontal cortex;globus pallidus;cingulate cortex;parietal lobe;cerebellum;</t>
  </si>
  <si>
    <t xml:space="preserve">MAP4K4</t>
  </si>
  <si>
    <t xml:space="preserve">TISSUE SPECIFICITY: Appears to be ubiquitous. Expressed in all tissue types examined. Isoform 5 appears to be more abundant in the brain. Isoform 4 is predominant in the liver, skeletal muscle and placenta. {ECO:0000269|PubMed:9890973}.; </t>
  </si>
  <si>
    <t xml:space="preserve">myocardium;lymphoreticular;smooth muscle;ovary;skin;retina;bone marrow;prostate;optic nerve;frontal lobe;cochlea;endometrium;thyroid;iris;germinal center;brain;bladder;heart;cartilage;tongue;pharynx;blood;skeletal muscle;breast;visual apparatus;liver;spleen;cervix;mammary gland;salivary gland;intestine;colon;parathyroid;choroid;uterus;whole body;larynx;bone;testis;spinal ganglion;unclassifiable (Anatomical System);islets of Langerhans;hypothalamus;pancreas;lung;nasopharynx;placenta;hippocampus;amnion;head and neck;kidney;aorta;stomach;</t>
  </si>
  <si>
    <t xml:space="preserve">medulla oblongata;superior cervical ganglion;ciliary ganglion;cingulate cortex;parietal lobe;</t>
  </si>
  <si>
    <t xml:space="preserve">MBD6</t>
  </si>
  <si>
    <t xml:space="preserve">ovary;colon;fovea centralis;choroid;skin;retina;uterus;prostate;optic nerve;whole body;cerebral cortex;endometrium;larynx;bone;thyroid;testis;germinal center;brain;pineal gland;unclassifiable (Anatomical System);cartilage;heart;lacrimal gland;islets of Langerhans;muscle;blood;lens;bile duct;pancreas;lung;placenta;macula lutea;visual apparatus;liver;spleen;head and neck;cervix;kidney;mammary gland;stomach;thymus;</t>
  </si>
  <si>
    <t xml:space="preserve">MBP</t>
  </si>
  <si>
    <t xml:space="preserve">TISSUE SPECIFICITY: MBP isoforms are found in both the central and the peripheral nervous system, whereas Golli-MBP isoforms are expressed in fetal thymus, spleen and spinal cord, as well as in cell lines derived from the immune system. {ECO:0000269|PubMed:7504278}.; </t>
  </si>
  <si>
    <t xml:space="preserve">sympathetic chain;substantia nigra;choroid;skin;uterus;subthalamic nucleus;optic nerve;ganglion;frontal lobe;cochlea;cerebral cortex;larynx;testis;spinal ganglion;brain;pineal gland;unclassifiable (Anatomical System);heart;nervous;hypothalamus;spinal cord;cerebrum;skeletal muscle;lung;adrenal gland;hippocampus;visual apparatus;head and neck;cerebellum;</t>
  </si>
  <si>
    <t xml:space="preserve">dorsal root ganglion;amygdala;whole brain;occipital lobe;thalamus;superior cervical ganglion;medulla oblongata;olfactory bulb;cerebellum peduncles;hypothalamus;spinal cord;temporal lobe;pons;atrioventricular node;caudate nucleus;subthalamic nucleus;prefrontal cortex;globus pallidus;ciliary ganglion;trigeminal ganglion;parietal lobe;cingulate cortex;cerebellum;</t>
  </si>
  <si>
    <t xml:space="preserve">MCOLN3</t>
  </si>
  <si>
    <t xml:space="preserve">unclassifiable (Anatomical System);cartilage;ovary;heart;islets of Langerhans;adrenal cortex;parathyroid;skin;skeletal muscle;bile duct;uterus;lung;bone;placenta;kidney;brain;mammary gland;</t>
  </si>
  <si>
    <t xml:space="preserve">adrenal gland;adrenal cortex;pituitary;</t>
  </si>
  <si>
    <t xml:space="preserve">MEF2C</t>
  </si>
  <si>
    <t xml:space="preserve">TISSUE SPECIFICITY: Expressed in brain and skeletal muscle. {ECO:0000269|PubMed:9798649}.; </t>
  </si>
  <si>
    <t xml:space="preserve">myocardium;smooth muscle;ovary;salivary gland;intestine;colon;parathyroid;fovea centralis;choroid;skin;retina;uterus;prostate;optic nerve;frontal lobe;cochlea;endometrium;larynx;testis;germinal center;brain;bladder;unclassifiable (Anatomical System);amygdala;lymph node;cartilage;heart;tongue;hypothalamus;pharynx;blood;lens;skeletal muscle;breast;pancreas;lung;nasopharynx;placenta;macula lutea;visual apparatus;liver;spleen;head and neck;kidney;stomach;peripheral nerve;</t>
  </si>
  <si>
    <t xml:space="preserve">whole brain;amygdala;medulla oblongata;occipital lobe;temporal lobe;atrioventricular node;pons;skeletal muscle;subthalamic nucleus;fetal brain;prefrontal cortex;globus pallidus;cingulate cortex;parietal lobe;</t>
  </si>
  <si>
    <t xml:space="preserve">MEFV</t>
  </si>
  <si>
    <t xml:space="preserve">TISSUE SPECIFICITY: Expressed in peripheral blood leukocytes, particularly in mature granulocytes and to a lesser extent in monocytes but not in lymphocytes. Detected in spleen, lung and muscle, probably as a result of leukocyte infiltration in these tissues. Not expressed in thymus, prostate, testis, ovary, small intestine, colon, heart, brain, placenta, liver, kidney, pancreas. Expression detected in several myeloid leukemic, colon cancer, and prostate cancer cell lines. {ECO:0000269|PubMed:10666224, ECO:0000269|PubMed:10807793, ECO:0000269|PubMed:11115844}.; </t>
  </si>
  <si>
    <t xml:space="preserve">blood;bone marrow;</t>
  </si>
  <si>
    <t xml:space="preserve">dorsal root ganglion;superior cervical ganglion;globus pallidus;ciliary ganglion;atrioventricular node;trigeminal ganglion;skin;</t>
  </si>
  <si>
    <t xml:space="preserve">MGAM2</t>
  </si>
  <si>
    <t xml:space="preserve">MICA</t>
  </si>
  <si>
    <t xml:space="preserve">TISSUE SPECIFICITY: Widely expressed with the exception of the central nervous system where it is absent. Expressed predominantly in gastric epithelium and also in monocytes, keratinocytes, endothelial cells, fibroblasts and in the outer layer of Hassal's corpuscles within the medulla of normal thymus. In skin, expressed mainly in the keratin layers, basal cells, ducts and follicles. Also expressed in many, but not all, epithelial tumors of lung, breast, kidney, ovary, prostate and colon. In thyomas, overexpressed in cortical and medullar epithelial cells. Tumors expressing MICA display increased levels of gamma delta T-cells. {ECO:0000269|PubMed:10359807, ECO:0000269|PubMed:10363723, ECO:0000269|PubMed:10691930, ECO:0000269|PubMed:12902493, ECO:0000269|PubMed:17565371, ECO:0000269|PubMed:8901601, ECO:0000269|PubMed:9396860}.; </t>
  </si>
  <si>
    <t xml:space="preserve">MIR1268A</t>
  </si>
  <si>
    <t xml:space="preserve">microRNA 1268a</t>
  </si>
  <si>
    <t xml:space="preserve">MIR5095</t>
  </si>
  <si>
    <t xml:space="preserve">microRNA 5095</t>
  </si>
  <si>
    <t xml:space="preserve">MLNR</t>
  </si>
  <si>
    <t xml:space="preserve">TISSUE SPECIFICITY: Expressed only in thyroid, stomach, and bone marrow.; </t>
  </si>
  <si>
    <t xml:space="preserve">unclassifiable (Anatomical System);testis;</t>
  </si>
  <si>
    <t xml:space="preserve">MMP9</t>
  </si>
  <si>
    <t xml:space="preserve">TISSUE SPECIFICITY: Produced by normal alveolar macrophages and granulocytes.; </t>
  </si>
  <si>
    <t xml:space="preserve">MOB1B</t>
  </si>
  <si>
    <t xml:space="preserve">TISSUE SPECIFICITY: Adrenal gland, bone marrow, brain, lung, placenta, prostate, salivary gland, skeletal muscle, testis, thymus, thyroid gland, uterus, colon with mucosa, fetal brain and fetal liver. {ECO:0000269|PubMed:19739119}.; </t>
  </si>
  <si>
    <t xml:space="preserve">smooth muscle;ovary;salivary gland;intestine;colon;parathyroid;skin;retina;bone marrow;uterus;prostate;frontal lobe;endometrium;testis;germinal center;brain;bladder;unclassifiable (Anatomical System);heart;islets of Langerhans;hypothalamus;pharynx;blood;skeletal muscle;breast;lung;trabecular meshwork;placenta;visual apparatus;liver;alveolus;kidney;mammary gland;</t>
  </si>
  <si>
    <t xml:space="preserve">MRPS10</t>
  </si>
  <si>
    <t xml:space="preserve">ovary;salivary gland;intestine;colon;vein;skin;retina;bone marrow;uterus;prostate;endometrium;bone;thyroid;amniotic fluid;brain;bladder;unclassifiable (Anatomical System);lymph node;islets of Langerhans;hypothalamus;pharynx;blood;skeletal muscle;breast;pancreas;lung;nasopharynx;trabecular meshwork;placenta;visual apparatus;hippocampus;liver;head and neck;kidney;mammary gland;stomach;aorta;cerebellum;</t>
  </si>
  <si>
    <t xml:space="preserve">amygdala;superior cervical ganglion;pons;parietal lobe;skeletal muscle;</t>
  </si>
  <si>
    <t xml:space="preserve">MTAP</t>
  </si>
  <si>
    <t xml:space="preserve">TISSUE SPECIFICITY: Ubiquitously expressed.; </t>
  </si>
  <si>
    <t xml:space="preserve">MTHFD1L</t>
  </si>
  <si>
    <t xml:space="preserve">TISSUE SPECIFICITY: Detected in most tissues, highest expression found in placenta, thymus and brain. Low expression is found in liver and skeletal muscle. Up-regulated in colon adenocarcinoma. {ECO:0000269|PubMed:12937168, ECO:0000269|PubMed:15013446}.; </t>
  </si>
  <si>
    <t xml:space="preserve">MUC16</t>
  </si>
  <si>
    <t xml:space="preserve">TISSUE SPECIFICITY: Expressed in corneal and conjunctival epithelia (at protein level). Overexpressed in ovarian carcinomas and ovarian low malignant potential (LMP) tumors as compared to the expression in normal ovarian tissue and ovarian adenomas. {ECO:0000269|PubMed:11369781, ECO:0000269|PubMed:12218296, ECO:0000269|PubMed:16384952}.; </t>
  </si>
  <si>
    <t xml:space="preserve">MUT</t>
  </si>
  <si>
    <t xml:space="preserve">ovary;sympathetic chain;colon;parathyroid;skin;retina;uterus;prostate;whole body;frontal lobe;endometrium;gum;bone;thyroid;testis;germinal center;brain;pineal gland;gall bladder;unclassifiable (Anatomical System);lymph node;cartilage;heart;tongue;islets of Langerhans;hypothalamus;skeletal muscle;bile duct;breast;lung;placenta;visual apparatus;hippocampus;duodenum;liver;spleen;head and neck;cervix;kidney;mammary gland;stomach;</t>
  </si>
  <si>
    <t xml:space="preserve">dorsal root ganglion;amygdala;fetal liver;superior cervical ganglion;medulla oblongata;temporal lobe;prefrontal cortex;globus pallidus;ciliary ganglion;pons;atrioventricular node;trigeminal ganglion;skeletal muscle;</t>
  </si>
  <si>
    <t xml:space="preserve">MYBPHL</t>
  </si>
  <si>
    <t xml:space="preserve">unclassifiable (Anatomical System);optic nerve;ovary;macula lutea;liver;spleen;fovea centralis;choroid;lens;brain;stomach;retina;</t>
  </si>
  <si>
    <t xml:space="preserve">MYH11</t>
  </si>
  <si>
    <t xml:space="preserve">TISSUE SPECIFICITY: Smooth muscle; expressed in the umbilical artery, bladder, esophagus and trachea. Isoform 1 is mostly found in slowly contracting tonic muscles. {ECO:0000269|PubMed:16000639}.; </t>
  </si>
  <si>
    <t xml:space="preserve">myocardium;lymphoreticular;smooth muscle;ovary;sympathetic chain;skin;bone marrow;retina;prostate;optic nerve;frontal lobe;endometrium;thyroid;iris;germinal center;brain;bladder;gall bladder;heart;cartilage;blood;skeletal muscle;trabecular meshwork;visual apparatus;liver;spleen;mammary gland;colon;parathyroid;choroid;uterus;cerebral cortex;synovium;larynx;bone;pituitary gland;testis;artery;spinal ganglion;unclassifiable (Anatomical System);islets of Langerhans;pancreas;lung;nasopharynx;placenta;hypopharynx;head and neck;kidney;stomach;aorta;</t>
  </si>
  <si>
    <t xml:space="preserve">superior cervical ganglion;testis - interstitial;ovary;skeletal muscle;uterus;uterus corpus;prostate;trachea;testis - seminiferous tubule;placenta;liver;appendix;testis;ciliary ganglion;fetal lung;trigeminal ganglion;</t>
  </si>
  <si>
    <t xml:space="preserve">MYH6</t>
  </si>
  <si>
    <t xml:space="preserve">unclassifiable (Anatomical System);myocardium;heart;tongue;muscle;skeletal muscle;whole body;atrium;lung;epididymis;thyroid;liver;head and neck;</t>
  </si>
  <si>
    <t xml:space="preserve">heart;fetal thyroid;skeletal muscle;</t>
  </si>
  <si>
    <t xml:space="preserve">MYO15A</t>
  </si>
  <si>
    <t xml:space="preserve">TISSUE SPECIFICITY: Highly expressed in pituitary. Also expressed at lower levels in adult brain, kidney, liver, lung, pancreas, placenta and skeletal muscle. Not expressed in brain. In the pituitary, highly expressed in anterior gland cells. {ECO:0000269|PubMed:10552926}.; </t>
  </si>
  <si>
    <t xml:space="preserve">unclassifiable (Anatomical System);medulla oblongata;lung;ovary;testis;blood;</t>
  </si>
  <si>
    <t xml:space="preserve">MYO1C</t>
  </si>
  <si>
    <t xml:space="preserve">smooth muscle;ovary;salivary gland;colon;choroid;skin;bone marrow;uterus;prostate;whole body;cerebral cortex;endometrium;synovium;larynx;bone;thyroid;iris;testis;germinal center;spinal ganglion;brain;bladder;unclassifiable (Anatomical System);lymph node;cartilage;heart;tongue;islets of Langerhans;skeletal muscle;breast;bile duct;pancreas;lung;epididymis;placenta;visual apparatus;hypopharynx;duodenum;liver;cervix;spleen;head and neck;kidney;mammary gland;stomach;cerebellum;</t>
  </si>
  <si>
    <t xml:space="preserve">MYO1E</t>
  </si>
  <si>
    <t xml:space="preserve">TISSUE SPECIFICITY: Expressed in the immune system. In the kidney, predominantly expressed in the glomerulus, including podocytes. {ECO:0000269|PubMed:21458045, ECO:0000269|PubMed:21756023}.; </t>
  </si>
  <si>
    <t xml:space="preserve">lymphoreticular;smooth muscle;ovary;colon;parathyroid;fovea centralis;choroid;skin;retina;uterus;prostate;optic nerve;whole body;cerebral cortex;larynx;bone;thyroid;testis;amniotic fluid;germinal center;brain;bladder;tonsil;unclassifiable (Anatomical System);lymph node;cartilage;pharynx;blood;lens;skeletal muscle;breast;bile duct;pancreas;lung;placenta;macula lutea;liver;spleen;head and neck;cervix;kidney;mammary gland;stomach;peripheral nerve;</t>
  </si>
  <si>
    <t xml:space="preserve">superior cervical ganglion;fetal liver;atrioventricular node;trigeminal ganglion;bone marrow;</t>
  </si>
  <si>
    <t xml:space="preserve">MYOG</t>
  </si>
  <si>
    <t xml:space="preserve">lung;placenta;testis;</t>
  </si>
  <si>
    <t xml:space="preserve">dorsal root ganglion;superior cervical ganglion;ciliary ganglion;atrioventricular node;skeletal muscle;</t>
  </si>
  <si>
    <t xml:space="preserve">MYOT</t>
  </si>
  <si>
    <t xml:space="preserve">TISSUE SPECIFICITY: Expressed in skeletal muscle (at protein level). Expressed in skeletal muscle, heart, bone marrow and thyroid gland. {ECO:0000269|PubMed:10369880, ECO:0000269|PubMed:10486214}.; </t>
  </si>
  <si>
    <t xml:space="preserve">unclassifiable (Anatomical System);heart;ovary;sympathetic chain;parathyroid;skin;skeletal muscle;uterus;prostate;whole body;lung;larynx;trabecular meshwork;placenta;liver;testis;head and neck;brain;</t>
  </si>
  <si>
    <t xml:space="preserve">superior cervical ganglion;tongue;thyroid;appendix;atrioventricular node;skeletal muscle;</t>
  </si>
  <si>
    <t xml:space="preserve">MYZAP</t>
  </si>
  <si>
    <t xml:space="preserve">2.21367341168049e-09</t>
  </si>
  <si>
    <t xml:space="preserve">myocardial zonula adherens protein</t>
  </si>
  <si>
    <t xml:space="preserve">NACA</t>
  </si>
  <si>
    <t xml:space="preserve">myocardium;ovary;skin;bone marrow;prostate;optic nerve;cochlea;endometrium;germinal center;bladder;brain;tonsil;heart;adrenal cortex;pharynx;blood;skeletal muscle;breast;trabecular meshwork;visual apparatus;liver;alveolus;spleen;cervix;mammary gland;peripheral nerve;salivary gland;intestine;colon;choroid;vein;uterus;whole body;oesophagus;larynx;bone;testis;dura mater;unclassifiable (Anatomical System);meninges;lymph node;trophoblast;islets of Langerhans;hypothalamus;muscle;pancreas;lung;pia mater;cornea;nasopharynx;placenta;hippocampus;head and neck;kidney;stomach;aorta;</t>
  </si>
  <si>
    <t xml:space="preserve">superior cervical ganglion;olfactory bulb;fetal brain;white blood cells;skin;</t>
  </si>
  <si>
    <t xml:space="preserve">NARFL</t>
  </si>
  <si>
    <t xml:space="preserve">TISSUE SPECIFICITY: Widely expressed. {ECO:0000269|PubMed:16956324}.; </t>
  </si>
  <si>
    <t xml:space="preserve">ovary;salivary gland;sympathetic chain;intestine;colon;fovea centralis;choroid;skin;retina;prostate;optic nerve;frontal lobe;synovium;bone;testis;dura mater;spinal ganglion;brain;bladder;pineal gland;unclassifiable (Anatomical System);meninges;lymph node;heart;lacrimal gland;islets of Langerhans;hypothalamus;urinary;pharynx;blood;lens;breast;pia mater;lung;placenta;macula lutea;visual apparatus;liver;spleen;cervix;kidney;stomach;</t>
  </si>
  <si>
    <t xml:space="preserve">NAV2</t>
  </si>
  <si>
    <t xml:space="preserve">TISSUE SPECIFICITY: Highly expressed in the brain, kidney and liver. Also expressed in the thyroid, mammary gland, spinal cord, heart, placenta and lung. Abundantly expressed in colon cancers. {ECO:0000269|PubMed:11904404, ECO:0000269|PubMed:12062803, ECO:0000269|PubMed:12079279, ECO:0000269|PubMed:12214280}.; </t>
  </si>
  <si>
    <t xml:space="preserve">medulla oblongata;ovary;colon;parathyroid;fovea centralis;choroid;skin;retina;bone marrow;uterus;optic nerve;whole body;frontal lobe;endometrium;thyroid;bone;testis;brain;unclassifiable (Anatomical System);heart;cartilage;islets of Langerhans;hypothalamus;lens;skeletal muscle;breast;pancreas;lung;placenta;macula lutea;visual apparatus;hippocampus;liver;spleen;head and neck;kidney;mammary gland;stomach;</t>
  </si>
  <si>
    <t xml:space="preserve">dorsal root ganglion;subthalamic nucleus;superior cervical ganglion;fetal brain;spinal cord;prefrontal cortex;globus pallidus;ciliary ganglion;atrioventricular node;trigeminal ganglion;skeletal muscle;cingulate cortex;</t>
  </si>
  <si>
    <t xml:space="preserve">NDST2</t>
  </si>
  <si>
    <t xml:space="preserve">ovary;colon;fovea centralis;choroid;bone marrow;uterus;prostate;frontal lobe;cerebral cortex;thyroid;bone;testis;germinal center;brain;unclassifiable (Anatomical System);lymph node;heart;cartilage;islets of Langerhans;blood;skeletal muscle;pancreas;lung;placenta;macula lutea;liver;spleen;kidney;mammary gland;stomach;cerebellum;</t>
  </si>
  <si>
    <t xml:space="preserve">globus pallidus;trigeminal ganglion;</t>
  </si>
  <si>
    <t xml:space="preserve">NDUFAF1</t>
  </si>
  <si>
    <t xml:space="preserve">TISSUE SPECIFICITY: Ubiquitous. {ECO:0000269|PubMed:11935339}.; </t>
  </si>
  <si>
    <t xml:space="preserve">myocardium;medulla oblongata;ovary;colon;skin;uterus;prostate;whole body;bone;testis;amniotic fluid;brain;unclassifiable (Anatomical System);lymph node;heart;cartilage;islets of Langerhans;hypothalamus;pineal body;lung;placenta;visual apparatus;liver;alveolus;spleen;cervix;kidney;stomach;</t>
  </si>
  <si>
    <t xml:space="preserve">medulla oblongata;superior cervical ganglion;occipital lobe;testis - interstitial;testis - seminiferous tubule;testis;trigeminal ganglion;cingulate cortex;</t>
  </si>
  <si>
    <t xml:space="preserve">NEK8</t>
  </si>
  <si>
    <t xml:space="preserve">TISSUE SPECIFICITY: Highest expression in thyroid, adrenal gland and skin. Low levels in spleen, colon and uterus. Overexpressed in breast tumors, with highest expression in infiltrating ductal carcinomas and moderate levels in mucinous adenocarcinoma. {ECO:0000269|PubMed:15019993}.; </t>
  </si>
  <si>
    <t xml:space="preserve">lymph node;ovary;salivary gland;intestine;pharynx;colon;blood;skin;breast;prostate;pancreas;lung;bone;liver;kidney;brain;bladder;tonsil;</t>
  </si>
  <si>
    <t xml:space="preserve">NELL1</t>
  </si>
  <si>
    <t xml:space="preserve">unclassifiable (Anatomical System);ovary;blood;parathyroid;skeletal muscle;prostate;lung;frontal lobe;placenta;bone;alveolus;testis;kidney;brain;</t>
  </si>
  <si>
    <t xml:space="preserve">amygdala;whole brain;superior cervical ganglion;subthalamic nucleus;temporal lobe;cingulate cortex;</t>
  </si>
  <si>
    <t xml:space="preserve">NFX1</t>
  </si>
  <si>
    <t xml:space="preserve">smooth muscle;ovary;sympathetic chain;colon;parathyroid;skin;bone marrow;uterus;prostate;frontal lobe;endometrium;larynx;bone;thyroid;pituitary gland;testis;germinal center;brain;spinal ganglion;unclassifiable (Anatomical System);cartilage;heart;hypothalamus;blood;lens;skeletal muscle;bile duct;breast;pancreas;lung;mesenchyma;nasopharynx;placenta;visual apparatus;liver;spleen;head and neck;cervix;kidney;mammary gland;stomach;thymus;</t>
  </si>
  <si>
    <t xml:space="preserve">dorsal root ganglion;testis - interstitial;superior cervical ganglion;pons;atrioventricular node;trigeminal ganglion;skeletal muscle;</t>
  </si>
  <si>
    <t xml:space="preserve">NID2</t>
  </si>
  <si>
    <t xml:space="preserve">TISSUE SPECIFICITY: Heart, placenta and bone. Less in pancreas, kidney and skeletal muscle.; </t>
  </si>
  <si>
    <t xml:space="preserve">smooth muscle;ovary;colon;parathyroid;fovea centralis;choroid;skin;retina;uterus;optic nerve;whole body;cochlea;endometrium;thyroid;bone;testis;brain;unclassifiable (Anatomical System);lymph node;heart;cartilage;spinal cord;urinary;lens;skeletal muscle;pancreas;lung;adrenal gland;placenta;macula lutea;visual apparatus;liver;spleen;head and neck;kidney;stomach;</t>
  </si>
  <si>
    <t xml:space="preserve">heart;placenta;fetal thyroid;</t>
  </si>
  <si>
    <t xml:space="preserve">NKAIN2</t>
  </si>
  <si>
    <t xml:space="preserve">TISSUE SPECIFICITY: Expressed in fetal brain. Weakly expressed in adult brain and thymus. Not expressed in any other normal tissue examined. {ECO:0000269|PubMed:11979551}.; </t>
  </si>
  <si>
    <t xml:space="preserve">NLRP4</t>
  </si>
  <si>
    <t xml:space="preserve">unclassifiable (Anatomical System);lymph node;bone;placenta;testis;germinal center;tonsil;</t>
  </si>
  <si>
    <t xml:space="preserve">subthalamic nucleus;superior cervical ganglion;globus pallidus;ciliary ganglion;atrioventricular node;pons;trigeminal ganglion;skeletal muscle;skin;</t>
  </si>
  <si>
    <t xml:space="preserve">NLRX1</t>
  </si>
  <si>
    <t xml:space="preserve">TISSUE SPECIFICITY: Ubiquitously expressed. Strongest expression in mammary gland, heart and muscle. Detected in HeLa, HEK293T, THP-1, HL-60, Raji and Jurkat cell lines (at protein level). {ECO:0000269|PubMed:15952891, ECO:0000269|PubMed:18200010, ECO:0000269|PubMed:18219313}.; </t>
  </si>
  <si>
    <t xml:space="preserve">medulla oblongata;ovary;salivary gland;intestine;colon;fovea centralis;choroid;skin;retina;bone marrow;uterus;prostate;optic nerve;frontal lobe;bone;thyroid;testis;brain;bladder;unclassifiable (Anatomical System);lymph node;cartilage;heart;tongue;islets of Langerhans;pharynx;blood;lens;skeletal muscle;breast;lung;epididymis;macula lutea;visual apparatus;liver;spleen;head and neck;kidney;mammary gland;stomach;</t>
  </si>
  <si>
    <t xml:space="preserve">NOD2</t>
  </si>
  <si>
    <t xml:space="preserve">TISSUE SPECIFICITY: Monocytes-specific.; </t>
  </si>
  <si>
    <t xml:space="preserve">smooth muscle;lung;heart;endometrium;placenta;colon;blood;kidney;skeletal muscle;bone marrow;</t>
  </si>
  <si>
    <t xml:space="preserve">superior cervical ganglion;white blood cells;whole blood;skeletal muscle;</t>
  </si>
  <si>
    <t xml:space="preserve">NOTCH4</t>
  </si>
  <si>
    <t xml:space="preserve">TISSUE SPECIFICITY: Highly expressed in the heart, moderately in the lung and placenta and at low levels in the liver, skeletal muscle, kidney, pancreas, spleen, lymph node, thymus, bone marrow and fetal liver. No expression was seen in adult brain or peripheral blood leukocytes.; </t>
  </si>
  <si>
    <t xml:space="preserve">NR1I3</t>
  </si>
  <si>
    <t xml:space="preserve">TISSUE SPECIFICITY: Predominantly expressed in liver.; </t>
  </si>
  <si>
    <t xml:space="preserve">NRIP2</t>
  </si>
  <si>
    <t xml:space="preserve">unclassifiable (Anatomical System);lymphoreticular;heart;colon;fovea centralis;choroid;lens;retina;optic nerve;lung;cerebral cortex;larynx;nasopharynx;placenta;macula lutea;hippocampus;head and neck;mammary gland;cerebellum;</t>
  </si>
  <si>
    <t xml:space="preserve">dorsal root ganglion;testis - interstitial;occipital lobe;thalamus;superior cervical ganglion;olfactory bulb;cerebellum peduncles;ciliary ganglion;atrioventricular node;cerebellum;</t>
  </si>
  <si>
    <t xml:space="preserve">NT5DC2</t>
  </si>
  <si>
    <t xml:space="preserve">lymphoreticular;ovary;skin;bone marrow;retina;prostate;optic nerve;frontal lobe;endometrium;thyroid;germinal center;brain;heart;cartilage;adrenal cortex;blood;lens;skeletal muscle;breast;macula lutea;visual apparatus;liver;spleen;cervix;mammary gland;salivary gland;colon;parathyroid;fovea centralis;choroid;vein;uterus;whole body;cerebral cortex;larynx;synovium;bone;testis;unclassifiable (Anatomical System);lymph node;trophoblast;islets of Langerhans;muscle;pancreas;lung;placenta;hypopharynx;head and neck;kidney;stomach;aorta;cerebellum;</t>
  </si>
  <si>
    <t xml:space="preserve">heart;tumor;</t>
  </si>
  <si>
    <t xml:space="preserve">NTN4</t>
  </si>
  <si>
    <t xml:space="preserve">TISSUE SPECIFICITY: Expressed in kidney, spleen, mammary gland, aorta, heart, ovary, prostate and fetal spleen. {ECO:0000269|PubMed:11038171}.; </t>
  </si>
  <si>
    <t xml:space="preserve">lymphoreticular;ovary;sympathetic chain;parathyroid;skin;uterus;prostate;atrium;frontal lobe;bone;testis;amniotic fluid;dura mater;spinal ganglion;artery;brain;unclassifiable (Anatomical System);meninges;heart;cartilage;hypothalamus;skeletal muscle;pancreas;pia mater;lung;mesenchyma;trabecular meshwork;placenta;visual apparatus;hippocampus;liver;spleen;kidney;mammary gland;aorta;</t>
  </si>
  <si>
    <t xml:space="preserve">ciliary ganglion;atrioventricular node;</t>
  </si>
  <si>
    <t xml:space="preserve">NUB1</t>
  </si>
  <si>
    <t xml:space="preserve">TISSUE SPECIFICITY: Widely expressed with lowest expression in the pancreas for isoform 1 and in leukocytes, liver, prostate and skeletal muscle for isoform 2.; </t>
  </si>
  <si>
    <t xml:space="preserve">medulla oblongata;ovary;colon;parathyroid;fovea centralis;choroid;skin;retina;uterus;prostate;optic nerve;whole body;endometrium;larynx;bone;thyroid;pituitary gland;testis;germinal center;brain;unclassifiable (Anatomical System);lymph node;cartilage;heart;lacrimal gland;islets of Langerhans;adrenal cortex;blood;lens;skeletal muscle;breast;bile duct;pancreas;lung;nasopharynx;placenta;macula lutea;visual apparatus;hippocampus;hypopharynx;alveolus;liver;spleen;head and neck;cervix;kidney;mammary gland;stomach;peripheral nerve;</t>
  </si>
  <si>
    <t xml:space="preserve">testis - interstitial;superior cervical ganglion;testis - seminiferous tubule;testis;ciliary ganglion;atrioventricular node;</t>
  </si>
  <si>
    <t xml:space="preserve">NUFIP2</t>
  </si>
  <si>
    <t xml:space="preserve">ovary;sympathetic chain;colon;substantia nigra;parathyroid;fovea centralis;choroid;skin;retina;bone marrow;uterus;prostate;atrium;whole body;frontal lobe;bone;pituitary gland;testis;germinal center;brain;bladder;unclassifiable (Anatomical System);cartilage;heart;hypothalamus;urinary;blood;skeletal muscle;breast;lung;epididymis;placenta;macula lutea;visual apparatus;liver;spleen;kidney;stomach;thymus;</t>
  </si>
  <si>
    <t xml:space="preserve">NUPL2</t>
  </si>
  <si>
    <t xml:space="preserve">TISSUE SPECIFICITY: Ubiquitously expressed. {ECO:0000269|PubMed:10358091}.; </t>
  </si>
  <si>
    <t xml:space="preserve">ovary;colon;fovea centralis;choroid;skin;retina;prostate;optic nerve;whole body;frontal lobe;cochlea;thyroid;bone;testis;germinal center;brain;unclassifiable (Anatomical System);lymph node;cartilage;islets of Langerhans;hypothalamus;blood;lens;lung;nasopharynx;trabecular meshwork;placenta;macula lutea;hippocampus;liver;spleen;cervix;kidney;mammary gland;stomach;aorta;peripheral nerve;</t>
  </si>
  <si>
    <t xml:space="preserve">testis - interstitial;occipital lobe;testis - seminiferous tubule;testis;</t>
  </si>
  <si>
    <t xml:space="preserve">OBSCN</t>
  </si>
  <si>
    <t xml:space="preserve">unclassifiable (Anatomical System);cartilage;heart;ovary;muscle;colon;fovea centralis;choroid;lens;skeletal muscle;retina;uterus;breast;optic nerve;lung;frontal lobe;larynx;thyroid;placenta;macula lutea;hypopharynx;duodenum;head and neck;kidney;brain;</t>
  </si>
  <si>
    <t xml:space="preserve">dorsal root ganglion;occipital lobe;medulla oblongata;superior cervical ganglion;temporal lobe;atrioventricular node;pons;skeletal muscle;subthalamic nucleus;adrenal gland;globus pallidus;ciliary ganglion;cerebellum;</t>
  </si>
  <si>
    <t xml:space="preserve">OLFML1</t>
  </si>
  <si>
    <t xml:space="preserve">TISSUE SPECIFICITY: Mainly expressed in the small intestine, liver, lung and heart. {ECO:0000269|PubMed:18708057}.; </t>
  </si>
  <si>
    <t xml:space="preserve">unclassifiable (Anatomical System);heart;tongue;colon;skin;skeletal muscle;uterus;lung;endometrium;synovium;thyroid;placenta;visual apparatus;hypopharynx;liver;testis;head and neck;spleen;spinal ganglion;brain;mammary gland;</t>
  </si>
  <si>
    <t xml:space="preserve">dorsal root ganglion;superior cervical ganglion;fetal lung;ciliary ganglion;atrioventricular node;trigeminal ganglion;</t>
  </si>
  <si>
    <t xml:space="preserve">OR4A16</t>
  </si>
  <si>
    <t xml:space="preserve">OR51I1</t>
  </si>
  <si>
    <t xml:space="preserve">OTUD3</t>
  </si>
  <si>
    <t xml:space="preserve">OTUD5</t>
  </si>
  <si>
    <t xml:space="preserve">TISSUE SPECIFICITY: Expressed in various tissues, including the liver and placenta, as well as in peripheral blood leukocytes. {ECO:0000269|PubMed:17991829}.; </t>
  </si>
  <si>
    <t xml:space="preserve">ovary;salivary gland;colon;parathyroid;fovea centralis;choroid;skin;retina;bone marrow;uterus;prostate;optic nerve;endometrium;gum;bone;thyroid;testis;germinal center;brain;bladder;unclassifiable (Anatomical System);lymph node;cartilage;islets of Langerhans;muscle;blood;lens;pancreas;lung;placenta;macula lutea;visual apparatus;liver;alveolus;spleen;cervix;kidney;mammary gland;stomach;cerebellum;thymus;</t>
  </si>
  <si>
    <t xml:space="preserve">OVCH1</t>
  </si>
  <si>
    <t xml:space="preserve">dorsal root ganglion;superior cervical ganglion;appendix;globus pallidus;ciliary ganglion;atrioventricular node;trigeminal ganglion;skeletal muscle;</t>
  </si>
  <si>
    <t xml:space="preserve">OXGR1</t>
  </si>
  <si>
    <t xml:space="preserve">TISSUE SPECIFICITY: Detected in kidney and, to a lower extend, in placenta. Not detected in brain tissues including the frontal cortex, caudate putamen, thalamus, hypothalamus, hippocampus or pons.; </t>
  </si>
  <si>
    <t xml:space="preserve">visual apparatus;</t>
  </si>
  <si>
    <t xml:space="preserve">dorsal root ganglion;superior cervical ganglion;globus pallidus;ciliary ganglion;atrioventricular node;skeletal muscle;</t>
  </si>
  <si>
    <t xml:space="preserve">PADI4</t>
  </si>
  <si>
    <t xml:space="preserve">TISSUE SPECIFICITY: Expressed in eosinophils and neutrophils, not expressed in peripheral monocytes or lymphocytes. {ECO:0000269|PubMed:11435484}.; </t>
  </si>
  <si>
    <t xml:space="preserve">bone marrow;</t>
  </si>
  <si>
    <t xml:space="preserve">skeletal muscle;bone marrow;</t>
  </si>
  <si>
    <t xml:space="preserve">PAPSS2</t>
  </si>
  <si>
    <t xml:space="preserve">TISSUE SPECIFICITY: Expressed in cartilage and adrenal gland. {ECO:0000269|PubMed:19474428}.; </t>
  </si>
  <si>
    <t xml:space="preserve">ovary;colon;parathyroid;choroid;skin;retina;uterus;whole body;oesophagus;endometrium;bone;thyroid;testis;brain;unclassifiable (Anatomical System);heart;islets of Langerhans;hypothalamus;skeletal muscle;bile duct;breast;pancreas;lung;adrenal gland;mesenchyma;nasopharynx;placenta;visual apparatus;liver;alveolus;spleen;kidney;mammary gland;aorta;</t>
  </si>
  <si>
    <t xml:space="preserve">dorsal root ganglion;superior cervical ganglion;smooth muscle;adrenal gland;adrenal cortex;ciliary ganglion;atrioventricular node;trigeminal ganglion;</t>
  </si>
  <si>
    <t xml:space="preserve">PARP11</t>
  </si>
  <si>
    <t xml:space="preserve">unclassifiable (Anatomical System);uterus;lung;heart;visual apparatus;testis;colon;germinal center;skin;</t>
  </si>
  <si>
    <t xml:space="preserve">superior cervical ganglion;appendix;ciliary ganglion;atrioventricular node;pons;trigeminal ganglion;</t>
  </si>
  <si>
    <t xml:space="preserve">PARVG</t>
  </si>
  <si>
    <t xml:space="preserve">TISSUE SPECIFICITY: Expressed predominantly in lymphoid organs, including spleen, thymus, lymph node, bone marrow and peripheral blood leukocytes and moderately in the digestive tract, including stomach, duodenum, jejunum, ileum, ileocecum and appendix, as well as in lung and liver. Also expressed in tumors, but at a lower level than in the corresponding normal tissues. {ECO:0000269|PubMed:11722847}.; </t>
  </si>
  <si>
    <t xml:space="preserve">unclassifiable (Anatomical System);smooth muscle;lymph node;small intestine;tongue;islets of Langerhans;blood;skeletal muscle;bone marrow;uterus;lung;endometrium;larynx;placenta;liver;testis;head and neck;kidney;brain;stomach;thymus;</t>
  </si>
  <si>
    <t xml:space="preserve">PASD1</t>
  </si>
  <si>
    <t xml:space="preserve">TISSUE SPECIFICITY: Testis-specific (PubMed:25936801). Expressed in a broad range of cancer cells, including melanoma, lung cancer, and breast cancer (at protein level). Testis-specific (PubMed:15162151). Found in histologically normal tissues from patients with uterus, lung and small intestine cancers. Widespread expression seen in solid tumors and diffuse large B-cell lymphoma (DLBCL)-derived cell lines. Isoform 2 is expressed in all DLBCL- derived cell lines, while isoform 1 is preferentially expressed in cell lines derived from non-germinal center DLBCL (PubMed:15162151). {ECO:0000269|PubMed:15162151, ECO:0000269|PubMed:25936801}.; </t>
  </si>
  <si>
    <t xml:space="preserve">PAX8</t>
  </si>
  <si>
    <t xml:space="preserve">TISSUE SPECIFICITY: Expressed in the excretory system, thyroid gland and Wilms tumors.; </t>
  </si>
  <si>
    <t xml:space="preserve">unclassifiable (Anatomical System);lymph node;heart;ovary;colon;parathyroid;lens;skin;uterus;optic nerve;lung;endometrium;larynx;thyroid;placenta;visual apparatus;head and neck;germinal center;kidney;brain;bladder;</t>
  </si>
  <si>
    <t xml:space="preserve">dorsal root ganglion;superior cervical ganglion;thyroid;ciliary ganglion;kidney;atrioventricular node;fetal thyroid;trigeminal ganglion;cingulate cortex;skeletal muscle;cerebellum;</t>
  </si>
  <si>
    <t xml:space="preserve">PAX8-AS1</t>
  </si>
  <si>
    <t xml:space="preserve">PAX8 antisense RNA 1</t>
  </si>
  <si>
    <t xml:space="preserve">PCDHB6</t>
  </si>
  <si>
    <t xml:space="preserve">unclassifiable (Anatomical System);myocardium;cartilage;ovary;salivary gland;intestine;pharynx;colon;parathyroid;blood;uterus;prostate;lung;trabecular meshwork;placenta;visual apparatus;duodenum;liver;kidney;brain;bladder;</t>
  </si>
  <si>
    <t xml:space="preserve">medulla oblongata;superior cervical ganglion;uterus corpus;</t>
  </si>
  <si>
    <t xml:space="preserve">PCDHGA11</t>
  </si>
  <si>
    <t xml:space="preserve">PCDHGA6</t>
  </si>
  <si>
    <t xml:space="preserve">PCOLCE2</t>
  </si>
  <si>
    <t xml:space="preserve">TISSUE SPECIFICITY: Highly expressed in the heart, trabecular meshwork, pituitary gland, bladder, mammary gland, trachea and placenta and weakly expressed in the brain. Expressed in cartilage. {ECO:0000269|PubMed:10873381, ECO:0000269|PubMed:11597177, ECO:0000269|PubMed:12393877}.; </t>
  </si>
  <si>
    <t xml:space="preserve">unclassifiable (Anatomical System);lymph node;cartilage;heart;ovary;hypothalamus;colon;parathyroid;skin;uterus;prostate;whole body;lung;bone;placenta;pituitary gland;alveolus;liver;testis;spleen;kidney;brain;</t>
  </si>
  <si>
    <t xml:space="preserve">superior cervical ganglion;adipose tissue;trachea;ciliary ganglion;trigeminal ganglion;</t>
  </si>
  <si>
    <t xml:space="preserve">PCSK1</t>
  </si>
  <si>
    <t xml:space="preserve">unclassifiable (Anatomical System);ovary;cartilage;islets of Langerhans;hypothalamus;fovea centralis;retina;breast;lung;bone;macula lutea;hippocampus;pituitary gland;testis;brain;stomach;</t>
  </si>
  <si>
    <t xml:space="preserve">amygdala;whole brain;occipital lobe;medulla oblongata;subthalamic nucleus;hypothalamus;beta cell islets;prefrontal cortex;globus pallidus;ciliary ganglion;pons;parietal lobe;pituitary;</t>
  </si>
  <si>
    <t xml:space="preserve">PDCD1LG2</t>
  </si>
  <si>
    <t xml:space="preserve">TISSUE SPECIFICITY: Highly expressed in heart, placenta, pancreas, lung and liver and weakly expressed in spleen, lymph nodes and thymus. {ECO:0000269|PubMed:11224527}.; </t>
  </si>
  <si>
    <t xml:space="preserve">PDE6C</t>
  </si>
  <si>
    <t xml:space="preserve">PECR</t>
  </si>
  <si>
    <t xml:space="preserve">unclassifiable (Anatomical System);ovary;cartilage;islets of Langerhans;parathyroid;skin;skeletal muscle;bone marrow;lung;endometrium;placenta;visual apparatus;iris;liver;spleen;kidney;brain;</t>
  </si>
  <si>
    <t xml:space="preserve">dorsal root ganglion;fetal liver;superior cervical ganglion;ciliary ganglion;parietal lobe;</t>
  </si>
  <si>
    <t xml:space="preserve">PHGDH</t>
  </si>
  <si>
    <t xml:space="preserve">PHKB</t>
  </si>
  <si>
    <t xml:space="preserve">ovary;sympathetic chain;skin;bone marrow;retina;prostate;optic nerve;frontal lobe;endometrium;thyroid;germinal center;brain;amygdala;heart;cartilage;urinary;blood;lens;skeletal muscle;breast;visual apparatus;macula lutea;liver;spleen;mammary gland;colon;parathyroid;choroid;fovea centralis;uterus;whole body;larynx;bone;testis;dura mater;unclassifiable (Anatomical System);meninges;lymph node;islets of Langerhans;hypothalamus;pancreas;lung;pia mater;placenta;hippocampus;head and neck;kidney;stomach;thymus;</t>
  </si>
  <si>
    <t xml:space="preserve">amygdala;dorsal root ganglion;subthalamic nucleus;medulla oblongata;testis - interstitial;superior cervical ganglion;thyroid;testis;ciliary ganglion;trigeminal ganglion;skeletal muscle;parietal lobe;</t>
  </si>
  <si>
    <t xml:space="preserve">PIGQ</t>
  </si>
  <si>
    <t xml:space="preserve">ovary;sympathetic chain;colon;fovea centralis;choroid;skin;retina;uterus;prostate;optic nerve;frontal lobe;endometrium;bone;thyroid;pituitary gland;testis;brain;unclassifiable (Anatomical System);heart;lacrimal gland;islets of Langerhans;lens;skeletal muscle;bile duct;breast;pancreas;lung;placenta;macula lutea;visual apparatus;liver;duodenum;spleen;cervix;kidney;mammary gland;stomach;</t>
  </si>
  <si>
    <t xml:space="preserve">dorsal root ganglion;superior cervical ganglion;subthalamic nucleus;testis;globus pallidus;ciliary ganglion;pons;atrioventricular node;trigeminal ganglion;skeletal muscle;</t>
  </si>
  <si>
    <t xml:space="preserve">PIK3R2</t>
  </si>
  <si>
    <t xml:space="preserve">medulla oblongata;ovary;salivary gland;colon;parathyroid;skin;uterus;prostate;optic nerve;frontal lobe;cerebral cortex;endometrium;larynx;thyroid;testis;brain;unclassifiable (Anatomical System);islets of Langerhans;urinary;blood;skeletal muscle;pancreas;lung;placenta;visual apparatus;hippocampus;liver;duodenum;spleen;head and neck;kidney;mammary gland;stomach;</t>
  </si>
  <si>
    <t xml:space="preserve">superior cervical ganglion;subthalamic nucleus;temporal lobe;globus pallidus;ciliary ganglion;atrioventricular node;pons;trigeminal ganglion;skeletal muscle;</t>
  </si>
  <si>
    <t xml:space="preserve">PIK3R5</t>
  </si>
  <si>
    <t xml:space="preserve">TISSUE SPECIFICITY: Ubiquitously expressed with high expression in fetal brain compared to adult brain. Abundant expression is observed in cerebellum, cerebral cortex, cerebral meninges, and vermis cerebelli. {ECO:0000269|PubMed:15797027, ECO:0000269|PubMed:22065524}.; </t>
  </si>
  <si>
    <t xml:space="preserve">unclassifiable (Anatomical System);lung;nasopharynx;placenta;testis;blood;kidney;thymus;bone marrow;</t>
  </si>
  <si>
    <t xml:space="preserve">dorsal root ganglion;superior cervical ganglion;ciliary ganglion;atrioventricular node;pons;trigeminal ganglion;skeletal muscle;</t>
  </si>
  <si>
    <t xml:space="preserve">PKD1</t>
  </si>
  <si>
    <t xml:space="preserve">medulla oblongata;smooth muscle;ovary;skin;retina;bone marrow;prostate;optic nerve;frontal lobe;cochlea;endometrium;thyroid;germinal center;brain;heart;cartilage;tongue;urinary;blood;lens;skeletal muscle;breast;epididymis;macula lutea;visual apparatus;liver;cervix;spleen;mammary gland;colon;parathyroid;fovea centralis;choroid;uterus;whole body;larynx;bone;pituitary gland;testis;spinal ganglion;pineal gland;unclassifiable (Anatomical System);lymph node;islets of Langerhans;hypothalamus;pancreas;lung;placenta;hypopharynx;amnion;head and neck;kidney;stomach;thymus;cerebellum;</t>
  </si>
  <si>
    <t xml:space="preserve">amygdala;medulla oblongata;subthalamic nucleus;superior cervical ganglion;cerebellum peduncles;prefrontal cortex;globus pallidus;atrioventricular node;pons;trigeminal ganglion;cingulate cortex;parietal lobe;cerebellum;</t>
  </si>
  <si>
    <t xml:space="preserve">PKLR</t>
  </si>
  <si>
    <t xml:space="preserve">unclassifiable (Anatomical System);cartilage;ovary;salivary gland;intestine;pharynx;colon;blood;skin;pancreas;prostate;bone;visual apparatus;liver;spleen;kidney;brain;mammary gland;bladder;</t>
  </si>
  <si>
    <t xml:space="preserve">dorsal root ganglion;superior cervical ganglion;liver;ciliary ganglion;atrioventricular node;kidney;trigeminal ganglion;skeletal muscle;</t>
  </si>
  <si>
    <t xml:space="preserve">PKP3</t>
  </si>
  <si>
    <t xml:space="preserve">TISSUE SPECIFICITY: Isoform PKP3a is found in desmosomes of most simple and stratified epithelia. Not found in foreskin fibroblasts and various sarcoma-derived cell lines. Beside dendritic reticular cells of lymphatic follicles not found in non-epithelial desmosome-bearing tissues. Isoform PKP3b is abundant in the desmosomes of stratified epithelial cell but absent in simple epithelial cells, it is also expressed in the colon and its tumors. {ECO:0000269|PubMed:24178805}.; </t>
  </si>
  <si>
    <t xml:space="preserve">unclassifiable (Anatomical System);cartilage;ovary;heart;tongue;islets of Langerhans;colon;parathyroid;blood;skin;uterus;pancreas;prostate;whole body;lung;bone;placenta;hypopharynx;testis;cervix;head and neck;brain;mammary gland;stomach;</t>
  </si>
  <si>
    <t xml:space="preserve">superior cervical ganglion;tongue;placenta;trigeminal ganglion;skeletal muscle;</t>
  </si>
  <si>
    <t xml:space="preserve">PLCG2</t>
  </si>
  <si>
    <t xml:space="preserve">medulla oblongata;smooth muscle;choroid;bone marrow;uterus;whole body;larynx;thyroid;bone;testis;germinal center;spinal ganglion;brain;unclassifiable (Anatomical System);amygdala;lymph node;cartilage;blood;skeletal muscle;breast;pancreas;lung;nasopharynx;placenta;liver;spleen;head and neck;kidney;mammary gland;stomach;</t>
  </si>
  <si>
    <t xml:space="preserve">PLEKHG6</t>
  </si>
  <si>
    <t xml:space="preserve">TISSUE SPECIFICITY: Highest expression in the placenta. Low levels in small intestine, lung, liver, kidney, thymus and heart.; </t>
  </si>
  <si>
    <t xml:space="preserve">lung;larynx;placenta;liver;colon;spleen;head and neck;brain;stomach;</t>
  </si>
  <si>
    <t xml:space="preserve">PLS1</t>
  </si>
  <si>
    <t xml:space="preserve">TISSUE SPECIFICITY: In small intestine, colon, and kidney; relatively lower levels of expression are detected in the lung and stomach. {ECO:0000269|PubMed:8139549}.; </t>
  </si>
  <si>
    <t xml:space="preserve">unclassifiable (Anatomical System);ovary;islets of Langerhans;salivary gland;intestine;pharynx;colon;parathyroid;blood;skin;skeletal muscle;retina;uterus;bile duct;pancreas;lung;cornea;bone;placenta;visual apparatus;pituitary gland;liver;kidney;brain;mammary gland;artery;aorta;stomach;</t>
  </si>
  <si>
    <t xml:space="preserve">testis - interstitial;superior cervical ganglion;fetal liver;subthalamic nucleus;trachea;pituitary;skin;</t>
  </si>
  <si>
    <t xml:space="preserve">PLXNA3</t>
  </si>
  <si>
    <t xml:space="preserve">POGK</t>
  </si>
  <si>
    <t xml:space="preserve">POLE</t>
  </si>
  <si>
    <t xml:space="preserve">lymphoreticular;smooth muscle;ovary;developmental;colon;parathyroid;choroid;fovea centralis;skin;retina;bone marrow;uterus;prostate;optic nerve;frontal lobe;endometrium;thyroid;testis;germinal center;brain;bladder;unclassifiable (Anatomical System);heart;tongue;blood;lens;skeletal muscle;breast;pancreas;lung;placenta;macula lutea;visual apparatus;liver;hypopharynx;cervix;spleen;head and neck;kidney;mammary gland;stomach;thymus;</t>
  </si>
  <si>
    <t xml:space="preserve">dorsal root ganglion;superior cervical ganglion;testis;ciliary ganglion;pons;trigeminal ganglion;</t>
  </si>
  <si>
    <t xml:space="preserve">PPID</t>
  </si>
  <si>
    <t xml:space="preserve">ovary;colon;parathyroid;skin;retina;uterus;prostate;whole body;frontal lobe;endometrium;thyroid;pituitary gland;testis;amniotic fluid;brain;tonsil;unclassifiable (Anatomical System);lymph node;heart;islets of Langerhans;breast;pancreas;lung;placenta;visual apparatus;hippocampus;liver;spleen;head and neck;cervix;kidney;stomach;thymus;</t>
  </si>
  <si>
    <t xml:space="preserve">amygdala;dorsal root ganglion;subthalamic nucleus;superior cervical ganglion;testis - seminiferous tubule;globus pallidus;ciliary ganglion;pons;atrioventricular node;trigeminal ganglion;cingulate cortex;</t>
  </si>
  <si>
    <t xml:space="preserve">PPM1E</t>
  </si>
  <si>
    <t xml:space="preserve">unclassifiable (Anatomical System);amygdala;heart;cartilage;islets of Langerhans;skeletal muscle;skin;uterus;whole body;lung;endometrium;visual apparatus;liver;testis;kidney;brain;</t>
  </si>
  <si>
    <t xml:space="preserve">PPP1R14A</t>
  </si>
  <si>
    <t xml:space="preserve">TISSUE SPECIFICITY: Isoform 1 is detected in aorta and testis. Isoform 2 is detected in aorta. {ECO:0000269|PubMed:11467857}.; </t>
  </si>
  <si>
    <t xml:space="preserve">myocardium;ovary;colon;parathyroid;choroid;skin;uterus;prostate;frontal lobe;larynx;testis;brain;unclassifiable (Anatomical System);heart;cartilage;islets of Langerhans;hypothalamus;blood;pancreas;lung;placenta;liver;head and neck;spleen;kidney;stomach;</t>
  </si>
  <si>
    <t xml:space="preserve">medulla oblongata;hypothalamus;testis;parietal lobe;</t>
  </si>
  <si>
    <t xml:space="preserve">PPP1R16B</t>
  </si>
  <si>
    <t xml:space="preserve">TISSUE SPECIFICITY: Highly expressed in vascular endothelium, CNS, lung, spleen, kidney and testis.; </t>
  </si>
  <si>
    <t xml:space="preserve">lymphoreticular;ovary;salivary gland;intestine;colon;parathyroid;skin;bone marrow;uterus;prostate;optic nerve;frontal lobe;bone;thyroid;testis;germinal center;brain;bladder;tonsil;unclassifiable (Anatomical System);lymph node;cartilage;heart;islets of Langerhans;pharynx;blood;breast;pancreas;lung;nasopharynx;placenta;visual apparatus;hippocampus;liver;spleen;kidney;mammary gland;stomach;cerebellum;thymus;</t>
  </si>
  <si>
    <t xml:space="preserve">whole brain;amygdala;thalamus;medulla oblongata;occipital lobe;cerebellum peduncles;hypothalamus;spinal cord;temporal lobe;caudate nucleus;pons;subthalamic nucleus;prefrontal cortex;globus pallidus;kidney;parietal lobe;cingulate cortex;cerebellum;</t>
  </si>
  <si>
    <t xml:space="preserve">PPP2R2B</t>
  </si>
  <si>
    <t xml:space="preserve">TISSUE SPECIFICITY: Brain.; </t>
  </si>
  <si>
    <t xml:space="preserve">unclassifiable (Anatomical System);smooth muscle;islets of Langerhans;hypothalamus;sympathetic chain;parathyroid;fovea centralis;retina;lung;frontal lobe;cochlea;placenta;hippocampus;macula lutea;visual apparatus;testis;kidney;brain;</t>
  </si>
  <si>
    <t xml:space="preserve">whole brain;dorsal root ganglion;amygdala;medulla oblongata;superior cervical ganglion;thalamus;occipital lobe;hypothalamus;atrioventricular node;pons;caudate nucleus;skeletal muscle;subthalamic nucleus;fetal brain;prefrontal cortex;globus pallidus;ciliary ganglion;trigeminal ganglion;cingulate cortex;parietal lobe;</t>
  </si>
  <si>
    <t xml:space="preserve">PRAMEF1</t>
  </si>
  <si>
    <t xml:space="preserve">PRAMEF11</t>
  </si>
  <si>
    <t xml:space="preserve">unclassifiable (Anatomical System);</t>
  </si>
  <si>
    <t xml:space="preserve">PRKACG</t>
  </si>
  <si>
    <t xml:space="preserve">TISSUE SPECIFICITY: Testis specific. But important tissues such as brain and ovary have not been analyzed for the content of transcript.; </t>
  </si>
  <si>
    <t xml:space="preserve">PROCR</t>
  </si>
  <si>
    <t xml:space="preserve">TISSUE SPECIFICITY: Expressed strongly in the endothelial cells of arteries and veins in heart and lung, less intensely in capillaries in the lung and skin, and not at all in the endothelium of small vessels of the liver and kidney.; </t>
  </si>
  <si>
    <t xml:space="preserve">ovary;colon;parathyroid;fovea centralis;choroid;vein;skin;retina;uterus;prostate;optic nerve;whole body;cerebral cortex;oesophagus;bone;thyroid;dura mater;brain;unclassifiable (Anatomical System);meninges;cartilage;heart;islets of Langerhans;muscle;lens;bile duct;breast;pancreas;pia mater;lung;trabecular meshwork;placenta;macula lutea;visual apparatus;liver;alveolus;spleen;head and neck;cervix;kidney;mammary gland;stomach;aorta;</t>
  </si>
  <si>
    <t xml:space="preserve">placenta;atrioventricular node;trigeminal ganglion;skeletal muscle;</t>
  </si>
  <si>
    <t xml:space="preserve">PRSS1</t>
  </si>
  <si>
    <t xml:space="preserve">pancreas;islets of Langerhans;liver;colon;spleen;</t>
  </si>
  <si>
    <t xml:space="preserve">superior cervical ganglion;pancreas;beta cell islets;ciliary ganglion;bone marrow;</t>
  </si>
  <si>
    <t xml:space="preserve">PTGER1</t>
  </si>
  <si>
    <t xml:space="preserve">TISSUE SPECIFICITY: Abundant in kidney. Lower level expression in lung, skeletal muscle and spleen, lowest expression in testis and not detected in liver brain and heart.; </t>
  </si>
  <si>
    <t xml:space="preserve">unclassifiable (Anatomical System);lung;islets of Langerhans;visual apparatus;testis;colon;kidney;stomach;</t>
  </si>
  <si>
    <t xml:space="preserve">superior cervical ganglion;ciliary ganglion;kidney;trigeminal ganglion;skeletal muscle;parietal lobe;</t>
  </si>
  <si>
    <t xml:space="preserve">PTPRB</t>
  </si>
  <si>
    <t xml:space="preserve">unclassifiable (Anatomical System);cartilage;heart;parathyroid;fovea centralis;choroid;lens;skin;skeletal muscle;retina;bile duct;uterus;optic nerve;lung;frontal lobe;endometrium;placenta;macula lutea;testis;spleen;cervix;kidney;spinal ganglion;brain;</t>
  </si>
  <si>
    <t xml:space="preserve">superior cervical ganglion;globus pallidus;atrioventricular node;trigeminal ganglion;skeletal muscle;</t>
  </si>
  <si>
    <t xml:space="preserve">PTPRG</t>
  </si>
  <si>
    <t xml:space="preserve">TISSUE SPECIFICITY: Found in a variety of tissues.; </t>
  </si>
  <si>
    <t xml:space="preserve">unclassifiable (Anatomical System);medulla oblongata;ovary;hypothalamus;colon;parathyroid;skeletal muscle;bile duct;lung;placenta;thyroid;bone;visual apparatus;kidney;ciliary body;stomach;</t>
  </si>
  <si>
    <t xml:space="preserve">amygdala;superior cervical ganglion;adipose tissue;</t>
  </si>
  <si>
    <t xml:space="preserve">PTPRH</t>
  </si>
  <si>
    <t xml:space="preserve">TISSUE SPECIFICITY: Expressed at high levels in the brain, spleen and liver and at lower levels in the heart and stomach. Expressed in pancreatic and colorectal cancer cells, but not in normal pancreas or colon. Expression in hepatocellular carcinoma is related to the differentiation status of the tumor and expression is inversely related to tumor aggressiveness. {ECO:0000269|PubMed:12837766, ECO:0000269|PubMed:12879010, ECO:0000269|PubMed:8294459}.; </t>
  </si>
  <si>
    <t xml:space="preserve">unclassifiable (Anatomical System);pancreas;lung;colon;spleen;skeletal muscle;</t>
  </si>
  <si>
    <t xml:space="preserve">RAP1GAP</t>
  </si>
  <si>
    <t xml:space="preserve">TISSUE SPECIFICITY: Significant expression seen in the brain, kidney and pancreas. Abundant in the cerebral cortex and expressed at much lower levels in the spinal cord. Not detected in the lymphoid tissues. {ECO:0000269|PubMed:9346962}.; </t>
  </si>
  <si>
    <t xml:space="preserve">unclassifiable (Anatomical System);ovary;islets of Langerhans;hypothalamus;sympathetic chain;skin;prostate;lung;frontal lobe;placenta;thyroid;hippocampus;testis;kidney;brain;stomach;cerebellum;</t>
  </si>
  <si>
    <t xml:space="preserve">amygdala;whole brain;medulla oblongata;occipital lobe;superior cervical ganglion;temporal lobe;adrenal cortex;caudate nucleus;pons;fetal thyroid;skeletal muscle;subthalamic nucleus;uterus corpus;adrenal gland;thyroid;prefrontal cortex;globus pallidus;kidney;trigeminal ganglion;cingulate cortex;parietal lobe;</t>
  </si>
  <si>
    <t xml:space="preserve">RFWD3</t>
  </si>
  <si>
    <t xml:space="preserve">lymphoreticular;ovary;salivary gland;intestine;colon;skin;uterus;prostate;endometrium;larynx;bone;thyroid;testis;amniotic fluid;germinal center;brain;bladder;tonsil;unclassifiable (Anatomical System);cartilage;pharynx;blood;skeletal muscle;breast;lung;placenta;visual apparatus;duodenum;liver;spleen;head and neck;cervix;kidney;stomach;</t>
  </si>
  <si>
    <t xml:space="preserve">superior cervical ganglion;testis - interstitial;testis - seminiferous tubule;trigeminal ganglion;</t>
  </si>
  <si>
    <t xml:space="preserve">RGS11</t>
  </si>
  <si>
    <t xml:space="preserve">1.25776709985289e-09</t>
  </si>
  <si>
    <t xml:space="preserve">regulator of G-protein signaling 11</t>
  </si>
  <si>
    <t xml:space="preserve">FUNCTION: Inhibits signal transduction by increasing the GTPase activity of G protein alpha subunits thereby driving them into their inactive GDP-bound form.; </t>
  </si>
  <si>
    <t xml:space="preserve">unclassifiable (Anatomical System);cartilage;islets of Langerhans;fovea centralis;choroid;lens;skeletal muscle;retina;prostate;optic nerve;lung;frontal lobe;thyroid;macula lutea;spleen;brain;</t>
  </si>
  <si>
    <t xml:space="preserve">occipital lobe;thalamus;superior cervical ganglion;olfactory bulb;cerebellum peduncles;spinal cord;prefrontal cortex;caudate nucleus;pons;cingulate cortex;</t>
  </si>
  <si>
    <t xml:space="preserve">RGSL1</t>
  </si>
  <si>
    <t xml:space="preserve">dorsal root ganglion;ciliary ganglion;atrioventricular node;trigeminal ganglion;skeletal muscle;</t>
  </si>
  <si>
    <t xml:space="preserve">RHOXF2</t>
  </si>
  <si>
    <t xml:space="preserve">0.592958781555666</t>
  </si>
  <si>
    <t xml:space="preserve">Rhox homeobox family member 2</t>
  </si>
  <si>
    <t xml:space="preserve">TISSUE SPECIFICITY: Testis. Not detected in epididymis nor placenta. {ECO:0000269|PubMed:12490318}.; </t>
  </si>
  <si>
    <t xml:space="preserve">RHOXF2B</t>
  </si>
  <si>
    <t xml:space="preserve">0.576875870835534</t>
  </si>
  <si>
    <t xml:space="preserve">Rhox homeobox family member 2B</t>
  </si>
  <si>
    <t xml:space="preserve">RIMS2</t>
  </si>
  <si>
    <t xml:space="preserve">TISSUE SPECIFICITY: Expressed in melanocytes (PubMed:23999003). {ECO:0000269|PubMed:23999003}.; </t>
  </si>
  <si>
    <t xml:space="preserve">unclassifiable (Anatomical System);whole body;adrenal gland;islets of Langerhans;hypothalamus;visual apparatus;pituitary gland;brain;mammary gland;skin;skeletal muscle;retina;</t>
  </si>
  <si>
    <t xml:space="preserve">dorsal root ganglion;medulla oblongata;occipital lobe;superior cervical ganglion;temporal lobe;prefrontal cortex;ciliary ganglion;atrioventricular node;pons;trigeminal ganglion;parietal lobe;skeletal muscle;</t>
  </si>
  <si>
    <t xml:space="preserve">RLTPR</t>
  </si>
  <si>
    <t xml:space="preserve">TISSUE SPECIFICITY: Expressed in all tissues tested, including thymus, spleen, colon, leukocytes, peripheral blood, skin, skin keratinocytes and skin fibroblasts. {ECO:0000269|PubMed:15588584}.; </t>
  </si>
  <si>
    <t xml:space="preserve">ovary;colon;parathyroid;fovea centralis;choroid;skin;retina;uterus;optic nerve;frontal lobe;endometrium;bone;testis;germinal center;brain;unclassifiable (Anatomical System);lymph node;heart;islets of Langerhans;blood;lens;pancreas;lung;placenta;macula lutea;visual apparatus;hippocampus;liver;spleen;cervix;kidney;mammary gland;thymus;</t>
  </si>
  <si>
    <t xml:space="preserve">RNF128</t>
  </si>
  <si>
    <t xml:space="preserve">ovary;salivary gland;intestine;colon;parathyroid;skin;bone marrow;prostate;cochlea;pituitary gland;bladder;brain;unclassifiable (Anatomical System);islets of Langerhans;hypothalamus;urinary;pharynx;blood;skeletal muscle;breast;pancreas;lung;placenta;visual apparatus;liver;kidney;stomach;aorta;</t>
  </si>
  <si>
    <t xml:space="preserve">superior cervical ganglion;fetal liver;adrenal gland;thyroid;</t>
  </si>
  <si>
    <t xml:space="preserve">RNF186</t>
  </si>
  <si>
    <t xml:space="preserve">RNF20</t>
  </si>
  <si>
    <t xml:space="preserve">TISSUE SPECIFICITY: Expressed in the normal brain and also in malignant gliomas (at protein level). {ECO:0000269|PubMed:19037095}.; </t>
  </si>
  <si>
    <t xml:space="preserve">RNF223</t>
  </si>
  <si>
    <t xml:space="preserve">RPL7A</t>
  </si>
  <si>
    <t xml:space="preserve">RPLP0P2</t>
  </si>
  <si>
    <t xml:space="preserve">RYR2</t>
  </si>
  <si>
    <t xml:space="preserve">TISSUE SPECIFICITY: Detected in heart muscle (at protein level). Heart muscle, brain (cerebellum and hippocampus) and placenta. {ECO:0000269|PubMed:10830164, ECO:0000269|PubMed:9607712}.; </t>
  </si>
  <si>
    <t xml:space="preserve">unclassifiable (Anatomical System);heart;hypothalamus;colon;fovea centralis;choroid;lens;skeletal muscle;retina;prostate;optic nerve;atrium;lung;frontal lobe;placenta;bone;macula lutea;liver;head and neck;spleen;cervix;brain;</t>
  </si>
  <si>
    <t xml:space="preserve">amygdala;occipital lobe;subthalamic nucleus;medulla oblongata;temporal lobe;prefrontal cortex;globus pallidus;caudate nucleus;pons;cingulate cortex;</t>
  </si>
  <si>
    <t xml:space="preserve">SAMD10</t>
  </si>
  <si>
    <t xml:space="preserve">SCARF1</t>
  </si>
  <si>
    <t xml:space="preserve">TISSUE SPECIFICITY: Endothelial cells.; </t>
  </si>
  <si>
    <t xml:space="preserve">unclassifiable (Anatomical System);uterus;lung;bone;placenta;testis;stomach;</t>
  </si>
  <si>
    <t xml:space="preserve">SEL1L2</t>
  </si>
  <si>
    <t xml:space="preserve">testis - interstitial;superior cervical ganglion;testis - seminiferous tubule;testis;atrioventricular node;</t>
  </si>
  <si>
    <t xml:space="preserve">SEMA3D</t>
  </si>
  <si>
    <t xml:space="preserve">unclassifiable (Anatomical System);ovary;fovea centralis;choroid;lens;retina;optic nerve;whole body;lung;cochlea;endometrium;bone;macula lutea;testis;spleen;amniotic fluid;artery;aorta;stomach;</t>
  </si>
  <si>
    <t xml:space="preserve">superior cervical ganglion;temporal lobe;globus pallidus;atrioventricular node;trigeminal ganglion;</t>
  </si>
  <si>
    <t xml:space="preserve">SEMA4C</t>
  </si>
  <si>
    <t xml:space="preserve">smooth muscle;ovary;sympathetic chain;parathyroid;fovea centralis;choroid;retina;uterus;optic nerve;endometrium;cerebral cortex;thyroid;amniotic fluid;brain;unclassifiable (Anatomical System);lymph node;islets of Langerhans;muscle;blood;lens;skeletal muscle;breast;lung;placenta;macula lutea;visual apparatus;hippocampus;liver;spleen;kidney;mammary gland;stomach;aorta;</t>
  </si>
  <si>
    <t xml:space="preserve">dorsal root ganglion;olfactory bulb;placenta;atrioventricular node;trigeminal ganglion;</t>
  </si>
  <si>
    <t xml:space="preserve">SEPN1</t>
  </si>
  <si>
    <t xml:space="preserve">TISSUE SPECIFICITY: Isoform 1 and isoform 2 are expressed in skeletal muscle, brain, lung and placenta. Isoform 2 is also expressed in heart, diaphragm and stomach. {ECO:0000269|PubMed:11528383, ECO:0000269|PubMed:12700173}.; </t>
  </si>
  <si>
    <t xml:space="preserve">myocardium;ovary;colon;parathyroid;choroid;skin;retina;uterus;prostate;optic nerve;frontal lobe;oesophagus;endometrium;synovium;bone;thyroid;pituitary gland;spinal ganglion;brain;unclassifiable (Anatomical System);amygdala;lymph node;cartilage;heart;tongue;islets of Langerhans;hypothalamus;muscle;adrenal cortex;skeletal muscle;breast;pancreas;lung;placenta;visual apparatus;liver;duodenum;spleen;head and neck;cervix;kidney;mammary gland;stomach;</t>
  </si>
  <si>
    <t xml:space="preserve">SF1</t>
  </si>
  <si>
    <t xml:space="preserve">TISSUE SPECIFICITY: Detected in lung, ovary, adrenal gland, colon, kidney, muscle, pancreas, thyroid, placenta, brain, liver and heart. {ECO:0000269|PubMed:7912130}.; </t>
  </si>
  <si>
    <t xml:space="preserve">lymphoreticular;smooth muscle;ovary;skin;retina;bone marrow;prostate;optic nerve;frontal lobe;endometrium;thyroid;germinal center;bladder;brain;tonsil;heart;cartilage;urinary;adrenal cortex;pharynx;blood;skeletal muscle;breast;epididymis;visual apparatus;liver;spleen;cervix;mammary gland;salivary gland;intestine;colon;parathyroid;uterus;whole body;bone;pituitary gland;testis;unclassifiable (Anatomical System);lymph node;islets of Langerhans;muscle;pancreas;lung;adrenal gland;placenta;duodenum;kidney;stomach;aorta;thymus;cerebellum;</t>
  </si>
  <si>
    <t xml:space="preserve">dorsal root ganglion;amygdala;superior cervical ganglion;thyroid;testis;ciliary ganglion;trigeminal ganglion;cerebellum;</t>
  </si>
  <si>
    <t xml:space="preserve">SGSM3</t>
  </si>
  <si>
    <t xml:space="preserve">TISSUE SPECIFICITY: Widely expressed. {ECO:0000269|PubMed:17509819}.; </t>
  </si>
  <si>
    <t xml:space="preserve">lymphoreticular;medulla oblongata;ovary;skin;bone marrow;retina;prostate;frontal lobe;endometrium;submandibular gland;iris;germinal center;bladder;brain;gall bladder;heart;cartilage;tongue;urinary;blood;breast;visual apparatus;liver;spleen;mammary gland;peripheral nerve;colon;uterus;ileum;whole body;oesophagus;synovium;bone;pituitary gland;testis;myometrium;unclassifiable (Anatomical System);lymph node;pancreas;lung;adrenal gland;placenta;hippocampus;head and neck;kidney;nose;stomach;aorta;parietal lobe;thymus;</t>
  </si>
  <si>
    <t xml:space="preserve">dorsal root ganglion;superior cervical ganglion;globus pallidus;ciliary ganglion;pons;trigeminal ganglion;skeletal muscle;</t>
  </si>
  <si>
    <t xml:space="preserve">SH2D6</t>
  </si>
  <si>
    <t xml:space="preserve">unclassifiable (Anatomical System);testis;colon;</t>
  </si>
  <si>
    <t xml:space="preserve">SH3D19</t>
  </si>
  <si>
    <t xml:space="preserve">TISSUE SPECIFICITY: Widely expressed with highest levels in heart, skeletal muscle, kidney, liver, placenta, small intestine and lung. Expressed at low levels in colon, thymus, spleen and leukocytes. {ECO:0000269|PubMed:15280379}.; </t>
  </si>
  <si>
    <t xml:space="preserve">ovary;colon;parathyroid;fovea centralis;choroid;vein;skin;retina;bone marrow;uterus;prostate;optic nerve;whole body;cerebral cortex;endometrium;larynx;bone;thyroid;testis;amniotic fluid;brain;bladder;unclassifiable (Anatomical System);cartilage;heart;islets of Langerhans;lens;skeletal muscle;breast;pancreas;lung;nasopharynx;placenta;macula lutea;visual apparatus;hippocampus;hypopharynx;liver;spleen;head and neck;cervix;kidney;mammary gland;stomach;peripheral nerve;</t>
  </si>
  <si>
    <t xml:space="preserve">dorsal root ganglion;ciliary ganglion;</t>
  </si>
  <si>
    <t xml:space="preserve">SH3TC1</t>
  </si>
  <si>
    <t xml:space="preserve">ovary;colon;parathyroid;substantia nigra;fovea centralis;choroid;skin;retina;uterus;optic nerve;endometrium;thyroid;testis;germinal center;brain;unclassifiable (Anatomical System);lymph node;heart;cartilage;islets of Langerhans;blood;lens;skeletal muscle;pancreas;lung;placenta;macula lutea;spleen;kidney;stomach;aorta;</t>
  </si>
  <si>
    <t xml:space="preserve">SHANK1</t>
  </si>
  <si>
    <t xml:space="preserve">TISSUE SPECIFICITY: Expressed in brain particularly in the amygdala, hippocampus, substantia nigra and thalamus. Isoform 2 seems to be expressed ubiquitously.; </t>
  </si>
  <si>
    <t xml:space="preserve">breast;frontal lobe;nervous;epididymis;brain;</t>
  </si>
  <si>
    <t xml:space="preserve">whole brain;amygdala;superior cervical ganglion;globus pallidus;appendix;ciliary ganglion;atrioventricular node;trigeminal ganglion;parietal lobe;</t>
  </si>
  <si>
    <t xml:space="preserve">SHANK2</t>
  </si>
  <si>
    <t xml:space="preserve">TISSUE SPECIFICITY: Isoform 3 is present in epithelial colonic cells (at protein level). {ECO:0000269|PubMed:16293618, ECO:0000269|PubMed:17244609}.; </t>
  </si>
  <si>
    <t xml:space="preserve">ovary;parathyroid;fovea centralis;choroid;skin;retina;uterus;optic nerve;whole body;frontal lobe;cochlea;endometrium;bone;testis;dura mater;brain;unclassifiable (Anatomical System);amygdala;meninges;cartilage;lens;skeletal muscle;breast;lung;pia mater;placenta;macula lutea;visual apparatus;liver;spleen;kidney;mammary gland;</t>
  </si>
  <si>
    <t xml:space="preserve">amygdala;whole brain;dorsal root ganglion;superior cervical ganglion;medulla oblongata;occipital lobe;temporal lobe;pons;atrioventricular node;skeletal muscle;subthalamic nucleus;fetal brain;prefrontal cortex;globus pallidus;ciliary ganglion;trigeminal ganglion;cingulate cortex;parietal lobe;cerebellum;</t>
  </si>
  <si>
    <t xml:space="preserve">SIK1</t>
  </si>
  <si>
    <t xml:space="preserve">colon;parathyroid;fovea centralis;choroid;skin;retina;bone marrow;uterus;prostate;optic nerve;gum;bone;thyroid;testis;germinal center;brain;unclassifiable (Anatomical System);lymph node;cartilage;heart;lacrimal gland;islets of Langerhans;blood;lens;breast;pancreas;lung;adrenal gland;placenta;macula lutea;duodenum;hypopharynx;liver;head and neck;kidney;mammary gland;stomach;</t>
  </si>
  <si>
    <t xml:space="preserve">superior cervical ganglion;adrenal cortex;skin;</t>
  </si>
  <si>
    <t xml:space="preserve">SLC18A1</t>
  </si>
  <si>
    <t xml:space="preserve">unclassifiable (Anatomical System);placenta;sympathetic chain;brain;</t>
  </si>
  <si>
    <t xml:space="preserve">SLC25A22</t>
  </si>
  <si>
    <t xml:space="preserve">TISSUE SPECIFICITY: Highly expressed in most tissues.; </t>
  </si>
  <si>
    <t xml:space="preserve">colon;parathyroid;fovea centralis;choroid;skin;retina;uterus;prostate;optic nerve;frontal lobe;endometrium;bone;testis;bladder;brain;unclassifiable (Anatomical System);cartilage;islets of Langerhans;muscle;lens;pancreas;lung;placenta;macula lutea;visual apparatus;cervix;kidney;stomach;peripheral nerve;cerebellum;</t>
  </si>
  <si>
    <t xml:space="preserve">whole brain;amygdala;medulla oblongata;subthalamic nucleus;cerebellum peduncles;temporal lobe;prefrontal cortex;globus pallidus;pons;trigeminal ganglion;cingulate cortex;cerebellum;</t>
  </si>
  <si>
    <t xml:space="preserve">SLC2A11</t>
  </si>
  <si>
    <t xml:space="preserve">TISSUE SPECIFICITY: Expressed in heart and skeletal muscle.; </t>
  </si>
  <si>
    <t xml:space="preserve">ovary;colon;parathyroid;choroid;fovea centralis;skin;retina;uterus;whole body;optic nerve;frontal lobe;cerebral cortex;bone;thyroid;testis;brain;tonsil;unclassifiable (Anatomical System);islets of Langerhans;blood;lens;lung;placenta;hippocampus;macula lutea;liver;cervix;kidney;stomach;aorta;</t>
  </si>
  <si>
    <t xml:space="preserve">SLC2A7</t>
  </si>
  <si>
    <t xml:space="preserve">TISSUE SPECIFICITY: Expressed in small intestine and colon. Weakly expressed in testis and prostate. {ECO:0000269|PubMed:15033637}.; </t>
  </si>
  <si>
    <t xml:space="preserve">SLC3A1</t>
  </si>
  <si>
    <t xml:space="preserve">TISSUE SPECIFICITY: Expressed in the brush border membrane in the kidney (at protein level). Predominantly expressed in the kidney, small intestine and pancreas. Weakly expressed in liver. {ECO:0000269|PubMed:12167606, ECO:0000269|PubMed:7686906, ECO:0000269|PubMed:8486766}.; </t>
  </si>
  <si>
    <t xml:space="preserve">ovary;salivary gland;sympathetic chain;colon;skin;retina;uterus;prostate;frontal lobe;larynx;testis;dura mater;brain;bladder;unclassifiable (Anatomical System);meninges;heart;cartilage;islets of Langerhans;hypothalamus;pharynx;blood;skeletal muscle;breast;pancreas;pia mater;lung;placenta;visual apparatus;liver;spleen;head and neck;cervix;kidney;</t>
  </si>
  <si>
    <t xml:space="preserve">superior cervical ganglion;kidney;parietal lobe;</t>
  </si>
  <si>
    <t xml:space="preserve">SLC5A3</t>
  </si>
  <si>
    <t xml:space="preserve">SLC7A6OS</t>
  </si>
  <si>
    <t xml:space="preserve">medulla oblongata;ovary;skin;bone marrow;retina;prostate;optic nerve;frontal lobe;endometrium;thyroid;iris;germinal center;bladder;brain;tonsil;heart;cartilage;adrenal cortex;pharynx;blood;lens;skeletal muscle;breast;macula lutea;visual apparatus;liver;spleen;salivary gland;intestine;colon;parathyroid;fovea centralis;choroid;uterus;whole body;larynx;bone;testis;dura mater;unclassifiable (Anatomical System);meninges;islets of Langerhans;muscle;pancreas;lung;pia mater;placenta;hypopharynx;head and neck;kidney;stomach;thymus;</t>
  </si>
  <si>
    <t xml:space="preserve">SLC8A3</t>
  </si>
  <si>
    <t xml:space="preserve">TISSUE SPECIFICITY: Isoform 2 is expressed in brain and skeletal muscle. Isoform 3 is expressed in excitable cells of brain, retina and skeletal muscle. Isoform 4 is expressed in skeletal muscle. {ECO:0000269|PubMed:15777725}.; </t>
  </si>
  <si>
    <t xml:space="preserve">unclassifiable (Anatomical System);optic nerve;macula lutea;fovea centralis;choroid;lens;brain;skeletal muscle;retina;</t>
  </si>
  <si>
    <t xml:space="preserve">superior cervical ganglion;subthalamic nucleus;pons;trigeminal ganglion;</t>
  </si>
  <si>
    <t xml:space="preserve">SLC9A8</t>
  </si>
  <si>
    <t xml:space="preserve">TISSUE SPECIFICITY: Ubiquitous. Strongly expressed in skeletal muscle and kidney. {ECO:0000269|PubMed:15522866}.; </t>
  </si>
  <si>
    <t xml:space="preserve">ovary;sympathetic chain;colon;fovea centralis;choroid;skin;retina;bone marrow;uterus;prostate;optic nerve;whole body;endometrium;bone;thyroid;testis;germinal center;brain;unclassifiable (Anatomical System);lymph node;cartilage;heart;islets of Langerhans;blood;lens;skeletal muscle;breast;lung;placenta;macula lutea;liver;spleen;head and neck;cervix;kidney;mammary gland;stomach;cerebellum;</t>
  </si>
  <si>
    <t xml:space="preserve">superior cervical ganglion;ciliary ganglion;pons;atrioventricular node;trigeminal ganglion;skeletal muscle;</t>
  </si>
  <si>
    <t xml:space="preserve">SLITRK1</t>
  </si>
  <si>
    <t xml:space="preserve">TISSUE SPECIFICITY: Expressed predominantly in the frontal lobe of the cerebral cortex of the brain. Also expressed in some astrocytic brain tumors such as astrocytomas, oligodendrogliomas, glioblastomas, gangliogliomas and primitive neuroectodermal tumors. {ECO:0000269|PubMed:14557068}.; </t>
  </si>
  <si>
    <t xml:space="preserve">SMARCA4</t>
  </si>
  <si>
    <t xml:space="preserve">TISSUE SPECIFICITY: Colocalizes with ZEB1 in E-cadherin-negative cells from established lines, and stroma of normal colon as well as in de-differentiated epithelial cells at the invasion front of colorectal carcinomas (at protein level). {ECO:0000269|PubMed:20418909}.; </t>
  </si>
  <si>
    <t xml:space="preserve">lymphoreticular;ovary;salivary gland;intestine;colon;parathyroid;fovea centralis;choroid;skin;retina;bone marrow;uterus;prostate;optic nerve;frontal lobe;endometrium;larynx;bone;thyroid;testis;germinal center;brain;bladder;unclassifiable (Anatomical System);lymph node;cartilage;heart;muscle;pharynx;blood;lens;skeletal muscle;pancreas;lung;cornea;epididymis;placenta;macula lutea;visual apparatus;amnion;liver;head and neck;cervix;kidney;mammary gland;stomach;thymus;</t>
  </si>
  <si>
    <t xml:space="preserve">amygdala;whole brain;testis - interstitial;thalamus;cerebellum peduncles;temporal lobe;tumor;pons;caudate nucleus;skeletal muscle;subthalamic nucleus;prostate;fetal brain;testis - seminiferous tubule;prefrontal cortex;globus pallidus;testis;cingulate cortex;parietal lobe;</t>
  </si>
  <si>
    <t xml:space="preserve">SMC5</t>
  </si>
  <si>
    <t xml:space="preserve">TISSUE SPECIFICITY: Widely expressed (PubMed:11408570). Strongly expressed in testis (PubMed:11408570). {ECO:0000269|PubMed:11408570}.; </t>
  </si>
  <si>
    <t xml:space="preserve">ovary;colon;fovea centralis;choroid;skin;retina;uterus;prostate;optic nerve;whole body;cochlea;endometrium;larynx;bone;thyroid;testis;germinal center;brain;unclassifiable (Anatomical System);cartilage;lacrimal gland;tongue;islets of Langerhans;hypothalamus;lens;skeletal muscle;breast;pancreas;lung;nasopharynx;placenta;macula lutea;liver;spleen;head and neck;kidney;mammary gland;stomach;aorta;</t>
  </si>
  <si>
    <t xml:space="preserve">superior cervical ganglion;trigeminal ganglion;skeletal muscle;</t>
  </si>
  <si>
    <t xml:space="preserve">SMG1</t>
  </si>
  <si>
    <t xml:space="preserve">TISSUE SPECIFICITY: Widely expressed, with highest level in heart and skeletal muscle. Expressed in placenta, brain, lung and spleen, but not in liver. {ECO:0000269|PubMed:15175154, ECO:0000269|PubMed:8524286}.; </t>
  </si>
  <si>
    <t xml:space="preserve">SMG9</t>
  </si>
  <si>
    <t xml:space="preserve">ovary;colon;fovea centralis;choroid;skin;retina;bone marrow;uterus;prostate;optic nerve;endometrium;larynx;bone;thyroid;pituitary gland;testis;germinal center;brain;unclassifiable (Anatomical System);cartilage;heart;tongue;islets of Langerhans;lens;skeletal muscle;pancreas;lung;placenta;macula lutea;hippocampus;duodenum;liver;spleen;head and neck;cervix;kidney;mammary gland;stomach;aorta;peripheral nerve;cerebellum;</t>
  </si>
  <si>
    <t xml:space="preserve">superior cervical ganglion;testis - seminiferous tubule;testis;globus pallidus;trigeminal ganglion;cerebellum;</t>
  </si>
  <si>
    <t xml:space="preserve">SNAPC5</t>
  </si>
  <si>
    <t xml:space="preserve">1.40204453241569e-05</t>
  </si>
  <si>
    <t xml:space="preserve">small nuclear RNA activating complex polypeptide 5</t>
  </si>
  <si>
    <t xml:space="preserve">FUNCTION: Part of the SNAPc complex required for the transcription of both RNA polymerase II and III small-nuclear RNA genes. Binds to the proximal sequence element (PSE), a non-TATA-box basal promoter element common to these 2 types of genes. Recruits TBP and BRF2 to the U6 snRNA TATA box.; </t>
  </si>
  <si>
    <t xml:space="preserve">lymphoreticular;ovary;salivary gland;intestine;colon;parathyroid;fovea centralis;choroid;vein;skin;bone marrow;retina;uterus;prostate;optic nerve;whole body;frontal lobe;larynx;thyroid;bone;testis;germinal center;bladder;brain;unclassifiable (Anatomical System);lymph node;heart;islets of Langerhans;hypothalamus;pharynx;blood;lens;breast;bile duct;pancreas;lung;adrenal gland;nasopharynx;placenta;visual apparatus;hippocampus;macula lutea;liver;alveolus;head and neck;cervix;kidney;stomach;</t>
  </si>
  <si>
    <t xml:space="preserve">atrioventricular node;skeletal muscle;cingulate cortex;</t>
  </si>
  <si>
    <t xml:space="preserve">SNRNP200</t>
  </si>
  <si>
    <t xml:space="preserve">TISSUE SPECIFICITY: Widely expressed. {ECO:0000269|PubMed:19878916}.; </t>
  </si>
  <si>
    <t xml:space="preserve">ovary;sympathetic chain;skin;bone marrow;retina;prostate;optic nerve;frontal lobe;endometrium;thyroid;iris;germinal center;bladder;brain;tonsil;heart;cartilage;tongue;pineal body;adrenal cortex;blood;lens;breast;epididymis;macula lutea;visual apparatus;liver;spleen;cervix;mammary gland;colon;fovea centralis;choroid;uterus;whole body;oesophagus;larynx;bone;pituitary gland;testis;pineal gland;unclassifiable (Anatomical System);lymph node;trophoblast;islets of Langerhans;muscle;bile duct;pancreas;lung;placenta;duodenum;head and neck;kidney;stomach;</t>
  </si>
  <si>
    <t xml:space="preserve">testis - interstitial;placenta;testis;globus pallidus;ciliary ganglion;</t>
  </si>
  <si>
    <t xml:space="preserve">SNX9</t>
  </si>
  <si>
    <t xml:space="preserve">TISSUE SPECIFICITY: Widely expressed, with highest levels in heart and placenta, and lowest levels in thymus and peripheral blood leukocytes. {ECO:0000269|PubMed:10531379}.; </t>
  </si>
  <si>
    <t xml:space="preserve">lymphoreticular;myocardium;ovary;colon;parathyroid;skin;retina;uterus;prostate;optic nerve;whole body;frontal lobe;endometrium;bone;testis;germinal center;spinal ganglion;brain;unclassifiable (Anatomical System);lymph node;cartilage;heart;small intestine;lacrimal gland;islets of Langerhans;urinary;blood;lens;skeletal muscle;breast;bile duct;pancreas;lung;adrenal gland;nasopharynx;trabecular meshwork;placenta;duodenum;liver;cervix;spleen;kidney;mammary gland;stomach;aorta;peripheral nerve;</t>
  </si>
  <si>
    <t xml:space="preserve">SORBS1</t>
  </si>
  <si>
    <t xml:space="preserve">TISSUE SPECIFICITY: Detected in skeletal muscle (at protein level). Widely expressed with highest levels in heart and skeletal muscle. {ECO:0000269|PubMed:11374898, ECO:0000269|PubMed:17462669}.; </t>
  </si>
  <si>
    <t xml:space="preserve">myocardium;ovary;colon;parathyroid;skin;retina;uterus;prostate;whole body;frontal lobe;cochlea;endometrium;larynx;thyroid;testis;spinal ganglion;brain;artery;unclassifiable (Anatomical System);heart;cartilage;hypothalamus;lens;skeletal muscle;lung;epididymis;placenta;hippocampus;liver;spleen;head and neck;kidney;mammary gland;stomach;aorta;peripheral nerve;</t>
  </si>
  <si>
    <t xml:space="preserve">dorsal root ganglion;superior cervical ganglion;olfactory bulb;spinal cord;temporal lobe;prefrontal cortex;ciliary ganglion;caudate nucleus;atrioventricular node;trigeminal ganglion;skeletal muscle;parietal lobe;</t>
  </si>
  <si>
    <t xml:space="preserve">SP3</t>
  </si>
  <si>
    <t xml:space="preserve">ovary;salivary gland;intestine;colon;parathyroid;skin;uterus;prostate;whole body;cochlea;larynx;thyroid;pituitary gland;testis;amniotic fluid;dura mater;germinal center;brain;artery;bladder;unclassifiable (Anatomical System);meninges;lymph node;heart;tongue;islets of Langerhans;hypothalamus;pharynx;blood;skeletal muscle;breast;bile duct;pia mater;lung;placenta;visual apparatus;duodenum;liver;cervix;head and neck;kidney;mammary gland;aorta;stomach;</t>
  </si>
  <si>
    <t xml:space="preserve">testis - interstitial;ciliary ganglion;atrioventricular node;whole blood;trigeminal ganglion;</t>
  </si>
  <si>
    <t xml:space="preserve">SPECC1L</t>
  </si>
  <si>
    <t xml:space="preserve">sperm antigen with calponin homology and coiled-coil domains 1-like</t>
  </si>
  <si>
    <t xml:space="preserve">lymphoreticular;smooth muscle;ovary;salivary gland;intestine;colon;parathyroid;fovea centralis;choroid;skin;retina;bone marrow;uterus;prostate;optic nerve;whole body;endometrium;bone;testis;germinal center;brain;tonsil;unclassifiable (Anatomical System);heart;islets of Langerhans;muscle;urinary;pharynx;blood;lens;skeletal muscle;breast;pancreas;lung;cornea;nasopharynx;placenta;macula lutea;visual apparatus;amnion;liver;spleen;kidney;mammary gland;aorta;stomach;cerebellum;</t>
  </si>
  <si>
    <t xml:space="preserve">superior cervical ganglion;testis - interstitial;testis - seminiferous tubule;testis;skeletal muscle;</t>
  </si>
  <si>
    <t xml:space="preserve">SPECC1L-ADORA2A</t>
  </si>
  <si>
    <t xml:space="preserve">SPECC1L-ADORA2A readthrough (NMD candidate)</t>
  </si>
  <si>
    <t xml:space="preserve">SPNS3</t>
  </si>
  <si>
    <t xml:space="preserve">unclassifiable (Anatomical System);colon;blood;fovea centralis;choroid;lens;bone marrow;retina;pancreas;optic nerve;lung;macula lutea;liver;spleen;kidney;stomach;</t>
  </si>
  <si>
    <t xml:space="preserve">SPO11</t>
  </si>
  <si>
    <t xml:space="preserve">SPO11 meiotic protein covalently bound to DSB</t>
  </si>
  <si>
    <t xml:space="preserve">TISSUE SPECIFICITY: Highly expressed in testis.; </t>
  </si>
  <si>
    <t xml:space="preserve">unclassifiable (Anatomical System);medulla oblongata;lung;testis;</t>
  </si>
  <si>
    <t xml:space="preserve">dorsal root ganglion;superior cervical ganglion;uterus corpus;globus pallidus;atrioventricular node;trigeminal ganglion;skeletal muscle;</t>
  </si>
  <si>
    <t xml:space="preserve">SPTBN1</t>
  </si>
  <si>
    <t xml:space="preserve">TISSUE SPECIFICITY: Isoform 2 is present in brain, lung and kidney (at protein level). {ECO:0000269|PubMed:11665863}.; </t>
  </si>
  <si>
    <t xml:space="preserve">ovary;sympathetic chain;colon;parathyroid;skin;retina;bone marrow;uterus;whole body;frontal lobe;oesophagus;larynx;thyroid;testis;germinal center;spinal ganglion;brain;bladder;unclassifiable (Anatomical System);amygdala;lymph node;heart;islets of Langerhans;muscle;blood;lens;breast;lung;epididymis;placenta;visual apparatus;hippocampus;hypopharynx;liver;spleen;head and neck;cervix;kidney;mammary gland;</t>
  </si>
  <si>
    <t xml:space="preserve">dorsal root ganglion;whole brain;occipital lobe;subthalamic nucleus;superior cervical ganglion;olfactory bulb;prefrontal cortex;globus pallidus;pons;cingulate cortex;skeletal muscle;parietal lobe;</t>
  </si>
  <si>
    <t xml:space="preserve">SPTBN5</t>
  </si>
  <si>
    <t xml:space="preserve">TISSUE SPECIFICITY: Expressed at very low levels in many tissues, with strongest expression in cerebellum, spinal cord, stomach, pituitary gland, liver, pancreas, salivary gland, kidney, bladder, and heart.; </t>
  </si>
  <si>
    <t xml:space="preserve">unclassifiable (Anatomical System);heart;ovary;cartilage;parathyroid;fovea centralis;skin;retina;uterus;optic nerve;lung;placenta;macula lutea;visual apparatus;spleen;brain;</t>
  </si>
  <si>
    <t xml:space="preserve">dorsal root ganglion;superior cervical ganglion;ciliary ganglion;atrioventricular node;</t>
  </si>
  <si>
    <t xml:space="preserve">SRRM4</t>
  </si>
  <si>
    <t xml:space="preserve">TISSUE SPECIFICITY: Specifically expressed in neuronal cells (at protein level). Expressed in the cerebellum. {ECO:0000269|PubMed:12800201, ECO:0000269|PubMed:19737518}.; </t>
  </si>
  <si>
    <t xml:space="preserve">unclassifiable (Anatomical System);sympathetic chain;fovea centralis;choroid;lens;skeletal muscle;retina;optic nerve;lung;frontal lobe;placenta;bone;macula lutea;visual apparatus;alveolus;testis;kidney;brain;cerebellum;</t>
  </si>
  <si>
    <t xml:space="preserve">dorsal root ganglion;medulla oblongata;superior cervical ganglion;testis - interstitial;cerebellum peduncles;temporal lobe;atrioventricular node;pons;skeletal muscle;subthalamic nucleus;globus pallidus;ciliary ganglion;trigeminal ganglion;cingulate cortex;parietal lobe;cerebellum;</t>
  </si>
  <si>
    <t xml:space="preserve">SSRP1</t>
  </si>
  <si>
    <t xml:space="preserve">lymphoreticular;medulla oblongata;ovary;skin;retina;prostate;optic nerve;frontal lobe;endometrium;amniotic fluid;germinal center;bladder;brain;tonsil;heart;cartilage;tongue;pharynx;blood;breast;visual apparatus;liver;spleen;cervix;mammary gland;peripheral nerve;salivary gland;intestine;colon;parathyroid;choroid;vein;uterus;whole body;larynx;bone;testis;artery;unclassifiable (Anatomical System);lymph node;lacrimal gland;islets of Langerhans;muscle;pancreas;lung;adrenal gland;placenta;duodenum;head and neck;kidney;stomach;aorta;thymus;</t>
  </si>
  <si>
    <t xml:space="preserve">testis - interstitial;tumor;white blood cells;</t>
  </si>
  <si>
    <t xml:space="preserve">STAB2</t>
  </si>
  <si>
    <t xml:space="preserve">TISSUE SPECIFICITY: Highly expressed in sinusoidal endothelial cells of liver, spleen and lymph nodes. Also expressed in non SEC- cells such as HMDMs (monocyte-derivedmacrophages), HAMs (T-cell leukemia virus type 1-associated myelopathy), and several macrophage cell line. {ECO:0000269|PubMed:11829752, ECO:0000269|PubMed:12077138, ECO:0000269|PubMed:12473645, ECO:0000269|PubMed:12626425, ECO:0000269|PubMed:17675564, ECO:0000269|PubMed:17962816}.; </t>
  </si>
  <si>
    <t xml:space="preserve">unclassifiable (Anatomical System);heart;cartilage;skin;uterus;pancreas;prostate;lung;placenta;liver;testis;spleen;kidney;mammary gland;</t>
  </si>
  <si>
    <t xml:space="preserve">dorsal root ganglion;medulla oblongata;superior cervical ganglion;occipital lobe;atrioventricular node;skeletal muscle;skin;subthalamic nucleus;appendix;globus pallidus;ciliary ganglion;trigeminal ganglion;parietal lobe;</t>
  </si>
  <si>
    <t xml:space="preserve">STAT2</t>
  </si>
  <si>
    <t xml:space="preserve">myocardium;ovary;sympathetic chain;colon;fovea centralis;skin;bone marrow;uterus;prostate;optic nerve;whole body;frontal lobe;endometrium;larynx;thyroid;bone;testis;germinal center;brain;bladder;unclassifiable (Anatomical System);heart;cartilage;islets of Langerhans;blood;skeletal muscle;breast;lung;trabecular meshwork;macula lutea;hypopharynx;head and neck;kidney;peripheral nerve;</t>
  </si>
  <si>
    <t xml:space="preserve">superior cervical ganglion;appendix;ciliary ganglion;atrioventricular node;trigeminal ganglion;</t>
  </si>
  <si>
    <t xml:space="preserve">STAT3</t>
  </si>
  <si>
    <t xml:space="preserve">TISSUE SPECIFICITY: Heart, brain, placenta, lung, liver, skeletal muscle, kidney and pancreas.; </t>
  </si>
  <si>
    <t xml:space="preserve">ovary;salivary gland;colon;choroid;skin;retina;bone marrow;uterus;prostate;whole body;endometrium;synovium;larynx;bone;thyroid;testis;amniotic fluid;germinal center;brain;bladder;tonsil;unclassifiable (Anatomical System);lymph node;cartilage;heart;islets of Langerhans;muscle;blood;lens;skeletal muscle;breast;bile duct;pancreas;lung;cornea;adrenal gland;nasopharynx;placenta;visual apparatus;amnion;hypopharynx;liver;cervix;spleen;head and neck;kidney;mammary gland;aorta;stomach;</t>
  </si>
  <si>
    <t xml:space="preserve">adipose tissue;beta cell islets;kidney;</t>
  </si>
  <si>
    <t xml:space="preserve">STK4</t>
  </si>
  <si>
    <t xml:space="preserve">TISSUE SPECIFICITY: Expressed in prostate cancer and levels increase from the normal to the malignant state (at protein level). Ubiquitously expressed. {ECO:0000269|PubMed:17932490}.; </t>
  </si>
  <si>
    <t xml:space="preserve">STMN4</t>
  </si>
  <si>
    <t xml:space="preserve">unclassifiable (Anatomical System);lung;whole body;ganglion;frontal lobe;tongue;hypothalamus;hippocampus;testis;spleen;head and neck;lens;brain;</t>
  </si>
  <si>
    <t xml:space="preserve">amygdala;whole brain;thalamus;occipital lobe;superior cervical ganglion;medulla oblongata;cerebellum peduncles;hypothalamus;temporal lobe;spinal cord;pons;atrioventricular node;caudate nucleus;subthalamic nucleus;fetal brain;prefrontal cortex;globus pallidus;trigeminal ganglion;cingulate cortex;parietal lobe;cerebellum;</t>
  </si>
  <si>
    <t xml:space="preserve">STX2</t>
  </si>
  <si>
    <t xml:space="preserve">medulla oblongata;ovary;sympathetic chain;colon;parathyroid;skin;uterus;frontal lobe;thyroid;bone;testis;spinal ganglion;brain;unclassifiable (Anatomical System);heart;cartilage;islets of Langerhans;blood;lens;skeletal muscle;lung;placenta;visual apparatus;hippocampus;liver;alveolus;spleen;kidney;stomach;</t>
  </si>
  <si>
    <t xml:space="preserve">STYXL1</t>
  </si>
  <si>
    <t xml:space="preserve">ovary;salivary gland;intestine;colon;parathyroid;fovea centralis;choroid;skin;bone marrow;retina;uterus;prostate;optic nerve;frontal lobe;endometrium;cerebral cortex;bone;pituitary gland;testis;germinal center;bladder;brain;unclassifiable (Anatomical System);lymph node;heart;cartilage;lacrimal gland;islets of Langerhans;pharynx;blood;lens;breast;pancreas;lung;epididymis;nasopharynx;placenta;macula lutea;visual apparatus;liver;spleen;kidney;stomach;peripheral nerve;</t>
  </si>
  <si>
    <t xml:space="preserve">SUN5</t>
  </si>
  <si>
    <t xml:space="preserve">TISSUE SPECIFICITY: Widely expressed. {ECO:0000269|PubMed:12621555}.; </t>
  </si>
  <si>
    <t xml:space="preserve">testis - seminiferous tubule;testis;ciliary ganglion;atrioventricular node;trigeminal ganglion;</t>
  </si>
  <si>
    <t xml:space="preserve">SVEP1</t>
  </si>
  <si>
    <t xml:space="preserve">TISSUE SPECIFICITY: Present in mesenchymal primary cultured cell lysates (at protein level). Highly expressed in placenta. Also expressed in marrow stromal cell. Weakly or not expressed in other tissues. {ECO:0000269|PubMed:11062057, ECO:0000269|PubMed:16206243}.; </t>
  </si>
  <si>
    <t xml:space="preserve">ovary;colon;parathyroid;choroid;skin;uterus;whole body;frontal lobe;cerebral cortex;larynx;bone;testis;brain;unclassifiable (Anatomical System);heart;cartilage;islets of Langerhans;skeletal muscle;breast;pancreas;lung;epididymis;nasopharynx;trabecular meshwork;placenta;visual apparatus;liver;hypopharynx;spleen;head and neck;kidney;mammary gland;</t>
  </si>
  <si>
    <t xml:space="preserve">superior cervical ganglion;adipose tissue;placenta;globus pallidus;ciliary ganglion;pons;atrioventricular node;trigeminal ganglion;skeletal muscle;</t>
  </si>
  <si>
    <t xml:space="preserve">SYT5</t>
  </si>
  <si>
    <t xml:space="preserve">unclassifiable (Anatomical System);lung;cartilage;ovary;islets of Langerhans;placenta;colon;parathyroid;brain;mammary gland;</t>
  </si>
  <si>
    <t xml:space="preserve">amygdala;whole brain;occipital lobe;superior cervical ganglion;medulla oblongata;temporal lobe;atrioventricular node;pons;caudate nucleus;skeletal muscle;subthalamic nucleus;prefrontal cortex;globus pallidus;ciliary ganglion;trigeminal ganglion;parietal lobe;cingulate cortex;</t>
  </si>
  <si>
    <t xml:space="preserve">SYT7</t>
  </si>
  <si>
    <t xml:space="preserve">TISSUE SPECIFICITY: Expressed in a variety of adult and fetal tissues.; </t>
  </si>
  <si>
    <t xml:space="preserve">ovary;colon;parathyroid;fovea centralis;choroid;skin;retina;bone marrow;uterus;prostate;optic nerve;frontal lobe;endometrium;larynx;bone;brain;unclassifiable (Anatomical System);heart;islets of Langerhans;hypothalamus;blood;lens;lung;placenta;macula lutea;visual apparatus;hippocampus;liver;spleen;head and neck;mammary gland;stomach;cerebellum;</t>
  </si>
  <si>
    <t xml:space="preserve">TAF1B</t>
  </si>
  <si>
    <t xml:space="preserve">ovary;salivary gland;intestine;colon;skin;uterus;prostate;bone;thyroid;testis;brain;bladder;unclassifiable (Anatomical System);lymph node;heart;islets of Langerhans;hypothalamus;pharynx;blood;skeletal muscle;breast;lung;adrenal gland;nasopharynx;placenta;visual apparatus;liver;spleen;head and neck;kidney;stomach;</t>
  </si>
  <si>
    <t xml:space="preserve">superior cervical ganglion;trigeminal ganglion;skin;</t>
  </si>
  <si>
    <t xml:space="preserve">TANC2</t>
  </si>
  <si>
    <t xml:space="preserve">TAT</t>
  </si>
  <si>
    <t xml:space="preserve">unclassifiable (Anatomical System);breast;lung;liver;testis;mammary gland;skeletal muscle;</t>
  </si>
  <si>
    <t xml:space="preserve">dorsal root ganglion;superior cervical ganglion;testis - interstitial;liver;globus pallidus;ciliary ganglion;atrioventricular node;trigeminal ganglion;skeletal muscle;</t>
  </si>
  <si>
    <t xml:space="preserve">TBC1D32</t>
  </si>
  <si>
    <t xml:space="preserve">TBL3</t>
  </si>
  <si>
    <t xml:space="preserve">medulla oblongata;ovary;colon;parathyroid;fovea centralis;choroid;skin;retina;bone marrow;prostate;optic nerve;bone;pituitary gland;testis;brain;unclassifiable (Anatomical System);amygdala;lymph node;heart;cartilage;islets of Langerhans;pineal body;muscle;blood;lens;skeletal muscle;pancreas;lung;placenta;macula lutea;visual apparatus;liver;cervix;kidney;mammary gland;stomach;</t>
  </si>
  <si>
    <t xml:space="preserve">prostate;heart;testis - seminiferous tubule;thyroid;liver;testis;atrioventricular node;</t>
  </si>
  <si>
    <t xml:space="preserve">TBXA2R</t>
  </si>
  <si>
    <t xml:space="preserve">TCFL5</t>
  </si>
  <si>
    <t xml:space="preserve">TISSUE SPECIFICITY: Isoform 3 is testis specific. Isoform 2 is pancreas specific. {ECO:0000269|PubMed:9763657}.; </t>
  </si>
  <si>
    <t xml:space="preserve">ovary;colon;parathyroid;fovea centralis;choroid;skin;retina;bone marrow;uterus;prostate;optic nerve;whole body;cochlea;endometrium;larynx;thyroid;bone;testis;germinal center;brain;pineal gland;unclassifiable (Anatomical System);heart;cartilage;islets of Langerhans;blood;lens;skeletal muscle;breast;pancreas;lung;placenta;macula lutea;visual apparatus;head and neck;kidney;mammary gland;stomach;</t>
  </si>
  <si>
    <t xml:space="preserve">whole brain;amygdala;medulla oblongata;testis - interstitial;testis - seminiferous tubule;spinal cord;prefrontal cortex;testis;cingulate cortex;</t>
  </si>
  <si>
    <t xml:space="preserve">TCHHL1</t>
  </si>
  <si>
    <t xml:space="preserve">TEC</t>
  </si>
  <si>
    <t xml:space="preserve">TISSUE SPECIFICITY: Expressed in a wide range of cells, including hematopoietic cell lines like myeloid, B-, and T-cell lineages.; </t>
  </si>
  <si>
    <t xml:space="preserve">TEN1</t>
  </si>
  <si>
    <t xml:space="preserve">THBS4</t>
  </si>
  <si>
    <t xml:space="preserve">unclassifiable (Anatomical System);cartilage;ovary;heart;tongue;islets of Langerhans;colon;lens;skin;skeletal muscle;retina;pancreas;prostate;whole body;lung;frontal lobe;endometrium;synovium;larynx;bone;thyroid;visual apparatus;pituitary gland;testis;head and neck;kidney;brain;mammary gland;stomach;</t>
  </si>
  <si>
    <t xml:space="preserve">dorsal root ganglion;superior cervical ganglion;tongue;spinal cord;testis;ciliary ganglion;trigeminal ganglion;pituitary;skeletal muscle;</t>
  </si>
  <si>
    <t xml:space="preserve">TMEM186</t>
  </si>
  <si>
    <t xml:space="preserve">ovary;salivary gland;intestine;colon;parathyroid;skin;retina;uterus;prostate;whole body;endometrium;testis;brain;bladder;unclassifiable (Anatomical System);cartilage;heart;tongue;pharynx;blood;lens;breast;pancreas;lung;nasopharynx;placenta;visual apparatus;duodenum;liver;head and neck;kidney;mammary gland;stomach;</t>
  </si>
  <si>
    <t xml:space="preserve">TMEM79</t>
  </si>
  <si>
    <t xml:space="preserve">TISSUE SPECIFICITY: Expressed in the epidermis of the skin. Expressed in epithelial cells of the outermost layer of the stratum granulosum (SG) and hair follicles (at protein level). {ECO:0000269|PubMed:24060273, ECO:0000269|PubMed:24084074}.; </t>
  </si>
  <si>
    <t xml:space="preserve">unclassifiable (Anatomical System);heart;oral cavity;colon;fovea centralis;choroid;lens;skin;retina;bile duct;prostate;optic nerve;whole body;lung;frontal lobe;endometrium;mesenchyma;bone;macula lutea;cervix;brain;</t>
  </si>
  <si>
    <t xml:space="preserve">TNIK</t>
  </si>
  <si>
    <t xml:space="preserve">TISSUE SPECIFICITY: Expressed ubiquitously. Highest levels observed in heart, brain and skeletal muscle. Expressed in normal colonic epithelia and colorectal cancer tissues. {ECO:0000269|PubMed:10521462, ECO:0000269|PubMed:19816403}.; </t>
  </si>
  <si>
    <t xml:space="preserve">unclassifiable (Anatomical System);heart;hypothalamus;colon;blood;skeletal muscle;skin;breast;uterus;prostate;lung;frontal lobe;bone;thyroid;placenta;liver;amnion;testis;spleen;germinal center;brain;gall bladder;stomach;cerebellum;</t>
  </si>
  <si>
    <t xml:space="preserve">dorsal root ganglion;medulla oblongata;superior cervical ganglion;occipital lobe;temporal lobe;pons;atrioventricular node;skeletal muscle;subthalamic nucleus;prefrontal cortex;globus pallidus;ciliary ganglion;trigeminal ganglion;cingulate cortex;parietal lobe;</t>
  </si>
  <si>
    <t xml:space="preserve">TNRC6C</t>
  </si>
  <si>
    <t xml:space="preserve">ovary;colon;parathyroid;fovea centralis;choroid;skin;retina;bone marrow;uterus;prostate;optic nerve;frontal lobe;cochlea;larynx;bone;testis;germinal center;spinal ganglion;pineal gland;brain;unclassifiable (Anatomical System);heart;adrenal cortex;blood;lens;skeletal muscle;pancreas;lung;placenta;macula lutea;head and neck;kidney;mammary gland;cerebellum;</t>
  </si>
  <si>
    <t xml:space="preserve">superior cervical ganglion;skeletal muscle;parietal lobe;</t>
  </si>
  <si>
    <t xml:space="preserve">TNS4</t>
  </si>
  <si>
    <t xml:space="preserve">TISSUE SPECIFICITY: Prostate and placenta. Down regulated in prostate cancer. {ECO:0000269|PubMed:12154022}.; </t>
  </si>
  <si>
    <t xml:space="preserve">unclassifiable (Anatomical System);tongue;colon;fovea centralis;choroid;lens;skeletal muscle;retina;uterus;breast;pancreas;prostate;optic nerve;lung;larynx;thyroid;placenta;macula lutea;head and neck;bladder;stomach;</t>
  </si>
  <si>
    <t xml:space="preserve">dorsal root ganglion;ciliary ganglion;atrioventricular node;pons;</t>
  </si>
  <si>
    <t xml:space="preserve">TOM1L2</t>
  </si>
  <si>
    <t xml:space="preserve">TISSUE SPECIFICITY: Ubiquitously expressed with higher expression in heart and skeletal muscle. {ECO:0000269|PubMed:11997338}.; </t>
  </si>
  <si>
    <t xml:space="preserve">unclassifiable (Anatomical System);islets of Langerhans;colon;skeletal muscle;retina;lung;larynx;thyroid;bone;visual apparatus;iris;liver;testis;head and neck;spleen;kidney;stomach;</t>
  </si>
  <si>
    <t xml:space="preserve">dorsal root ganglion;superior cervical ganglion;</t>
  </si>
  <si>
    <t xml:space="preserve">TOP2B</t>
  </si>
  <si>
    <t xml:space="preserve">myocardium;ovary;skin;bone marrow;retina;prostate;frontal lobe;cochlea;endometrium;thyroid;amniotic fluid;germinal center;brain;heart;cartilage;adrenal cortex;pharynx;blood;lens;breast;trabecular meshwork;visual apparatus;macula lutea;liver;mammary gland;salivary gland;intestine;colon;fovea centralis;uterus;whole body;cerebral cortex;larynx;bone;testis;artery;unclassifiable (Anatomical System);islets of Langerhans;bile duct;pancreas;lung;cornea;placenta;duodenum;head and neck;kidney;stomach;aorta;thymus;cerebellum;</t>
  </si>
  <si>
    <t xml:space="preserve">amygdala;subthalamic nucleus;occipital lobe;medulla oblongata;fetal brain;hypothalamus;thyroid;prefrontal cortex;globus pallidus;caudate nucleus;parietal lobe;cingulate cortex;</t>
  </si>
  <si>
    <t xml:space="preserve">TPO</t>
  </si>
  <si>
    <t xml:space="preserve">unclassifiable (Anatomical System);cartilage;larynx;thyroid;muscle;colon;head and neck;</t>
  </si>
  <si>
    <t xml:space="preserve">thyroid;fetal thyroid;parietal lobe;cingulate cortex;</t>
  </si>
  <si>
    <t xml:space="preserve">TPP1</t>
  </si>
  <si>
    <t xml:space="preserve">TISSUE SPECIFICITY: Detected in all tissues examined with highest levels in heart and placenta and relatively similar levels in other tissues.; </t>
  </si>
  <si>
    <t xml:space="preserve">lymphoreticular;smooth muscle;ovary;skin;retina;bone marrow;prostate;optic nerve;frontal lobe;endometrium;thyroid;iris;germinal center;brain;gall bladder;amygdala;heart;cartilage;tongue;pineal body;urinary;adrenal cortex;blood;cerebrum;lens;skeletal muscle;breast;macula lutea;liver;spleen;cervix;mammary gland;colon;parathyroid;fovea centralis;choroid;uterus;larynx;bone;pituitary gland;testis;unclassifiable (Anatomical System);lymph node;islets of Langerhans;bile duct;pancreas;lung;placenta;hypopharynx;head and neck;kidney;stomach;thymus;</t>
  </si>
  <si>
    <t xml:space="preserve">dorsal root ganglion;superior cervical ganglion;adrenal gland;placenta;kidney;trigeminal ganglion;bone marrow;</t>
  </si>
  <si>
    <t xml:space="preserve">TRDN</t>
  </si>
  <si>
    <t xml:space="preserve">unclassifiable (Anatomical System);lung;whole body;macula lutea;developmental;liver;testis;fovea centralis;skeletal muscle;retina;</t>
  </si>
  <si>
    <t xml:space="preserve">subthalamic nucleus;superior cervical ganglion;tongue;thyroid;ciliary ganglion;atrioventricular node;pons;trigeminal ganglion;skeletal muscle;</t>
  </si>
  <si>
    <t xml:space="preserve">TSHR</t>
  </si>
  <si>
    <t xml:space="preserve">TISSUE SPECIFICITY: Expressed in the thyroid. {ECO:0000269|PubMed:2610690}.; </t>
  </si>
  <si>
    <t xml:space="preserve">unclassifiable (Anatomical System);lung;ovary;thyroid;blood;head and neck;brain;skeletal muscle;bone marrow;</t>
  </si>
  <si>
    <t xml:space="preserve">superior cervical ganglion;thyroid;globus pallidus;ciliary ganglion;pons;atrioventricular node;fetal thyroid;trigeminal ganglion;skeletal muscle;thymus;</t>
  </si>
  <si>
    <t xml:space="preserve">TSPAN1</t>
  </si>
  <si>
    <t xml:space="preserve">TTN</t>
  </si>
  <si>
    <t xml:space="preserve">TISSUE SPECIFICITY: Isoforms 3, 7 and 8 are expressed in cardiac muscle. Isoform 4 is expressed in vertebrate skeletal muscle. Isoform 6 is expressed in skeletal muscle (at protein level). {ECO:0000269|PubMed:11717165, ECO:0000269|PubMed:7819249}.; </t>
  </si>
  <si>
    <t xml:space="preserve">myocardium;ovary;colon;parathyroid;choroid;fovea centralis;skin;bone marrow;retina;uterus;prostate;whole body;optic nerve;atrium;frontal lobe;larynx;thyroid;bone;testis;germinal center;unclassifiable (Anatomical System);heart;tongue;muscle;spinal cord;blood;lens;skeletal muscle;pancreas;lung;nasopharynx;placenta;visual apparatus;macula lutea;alveolus;liver;spleen;head and neck;kidney;peripheral nerve;</t>
  </si>
  <si>
    <t xml:space="preserve">superior cervical ganglion;tongue;thyroid;globus pallidus;testis;atrioventricular node;pons;fetal thyroid;trigeminal ganglion;skeletal muscle;</t>
  </si>
  <si>
    <t xml:space="preserve">TUBA8</t>
  </si>
  <si>
    <t xml:space="preserve">TISSUE SPECIFICITY: Preferentially expressed in heart, skeletal muscle and testis. Expressed at low levels in the developing brain. {ECO:0000269|PubMed:20466094}.; </t>
  </si>
  <si>
    <t xml:space="preserve">unclassifiable (Anatomical System);lung;ovary;islets of Langerhans;muscle;lens;brain;skeletal muscle;</t>
  </si>
  <si>
    <t xml:space="preserve">TUBB1</t>
  </si>
  <si>
    <t xml:space="preserve">TISSUE SPECIFICITY: Hematopoietic cell-specific. Major isotype in leukocytes, where it represents 50% of all beta-tubulins. {ECO:0000269|PubMed:20191564}.; </t>
  </si>
  <si>
    <t xml:space="preserve">unclassifiable (Anatomical System);ovary;parathyroid;blood;skin;bone marrow;pancreas;prostate;whole body;lung;frontal lobe;placenta;visual apparatus;liver;testis;spleen;kidney;brain;</t>
  </si>
  <si>
    <t xml:space="preserve">dorsal root ganglion;</t>
  </si>
  <si>
    <t xml:space="preserve">TUFM</t>
  </si>
  <si>
    <t xml:space="preserve">lymphoreticular;medulla oblongata;smooth muscle;ovary;skin;retina;bone marrow;prostate;endometrium;gum;thyroid;iris;germinal center;bladder;brain;heart;cartilage;pineal body;adrenal cortex;pharynx;blood;lens;skeletal muscle;breast;visual apparatus;liver;spleen;cervix;mammary gland;salivary gland;intestine;colon;parathyroid;choroid;uterus;whole body;bone;testis;unclassifiable (Anatomical System);lymph node;islets of Langerhans;hypothalamus;pancreas;lung;cornea;adrenal gland;placenta;duodenum;kidney;stomach;</t>
  </si>
  <si>
    <t xml:space="preserve">whole brain;heart;liver;tumor;testis;kidney;</t>
  </si>
  <si>
    <t xml:space="preserve">UBR1</t>
  </si>
  <si>
    <t xml:space="preserve">TISSUE SPECIFICITY: Broadly expressed, with highest levels in skeletal muscle, kidney and pancreas. Present in acinar cells of the pancreas (at protein level). {ECO:0000269|PubMed:15548684, ECO:0000269|PubMed:16311597, ECO:0000269|PubMed:9653112}.; </t>
  </si>
  <si>
    <t xml:space="preserve">unclassifiable (Anatomical System);ovary;heart;islets of Langerhans;salivary gland;intestine;pharynx;colon;blood;skin;skeletal muscle;retina;uterus;bile duct;prostate;pancreas;frontal lobe;bone;thyroid;placenta;visual apparatus;liver;testis;spleen;kidney;brain;mammary gland;bladder;</t>
  </si>
  <si>
    <t xml:space="preserve">dorsal root ganglion;superior cervical ganglion;appendix;globus pallidus;ciliary ganglion;atrioventricular node;trigeminal ganglion;cerebellum;</t>
  </si>
  <si>
    <t xml:space="preserve">UGT2B10</t>
  </si>
  <si>
    <t xml:space="preserve">unclassifiable (Anatomical System);liver;spleen;kidney;</t>
  </si>
  <si>
    <t xml:space="preserve">UNC45B</t>
  </si>
  <si>
    <t xml:space="preserve">TISSUE SPECIFICITY: Expressed in eye lens tissues. {ECO:0000269|PubMed:24549050}.; </t>
  </si>
  <si>
    <t xml:space="preserve">unclassifiable (Anatomical System);myocardium;</t>
  </si>
  <si>
    <t xml:space="preserve">dorsal root ganglion;superior cervical ganglion;subthalamic nucleus;globus pallidus;skeletal muscle;</t>
  </si>
  <si>
    <t xml:space="preserve">UROD</t>
  </si>
  <si>
    <t xml:space="preserve">medulla oblongata;ovary;salivary gland;intestine;colon;parathyroid;choroid;vein;skin;retina;uterus;prostate;optic nerve;whole body;endometrium;bone;thyroid;iris;pituitary gland;testis;brain;pineal gland;artery;bladder;unclassifiable (Anatomical System);lymph node;cartilage;heart;islets of Langerhans;muscle;adrenal cortex;pharynx;blood;lens;breast;bile duct;pancreas;lung;adrenal gland;nasopharynx;placenta;visual apparatus;liver;cervix;spleen;kidney;mammary gland;aorta;stomach;</t>
  </si>
  <si>
    <t xml:space="preserve">superior cervical ganglion;subthalamic nucleus;fetal liver;adrenal gland;ciliary ganglion;trigeminal ganglion;bone marrow;</t>
  </si>
  <si>
    <t xml:space="preserve">USH2A</t>
  </si>
  <si>
    <t xml:space="preserve">TISSUE SPECIFICITY: Present in the basement membrane of many, but not all tissues. Expressed in retina, cochlea, small and large intestine, pancreas, bladder, prostate, esophagus, trachea, thymus, salivary glands, placenta, ovary, fallopian tube, uterus and testis. Absent in many other tissues such as heart, lung, liver, kidney and brain. In the retina, it is present in the basement membranes in the Bruch's layer choroid capillary basement membranes, where it localizes just beneath the retinal pigment epithelial cells (at protein level). Weakly expressed. Isoform 2 is expressed in fetal eye, cochlea and heart, and at very low level in brain, CNS, intestine, skeleton, tongue, kidney and lung. Isoform 2 is not expressed in stomach and liver. In adult tissues, isoform 2 is expressed in neural retina and testis, and at low level in brain, heart, kidney and liver. Isoform 1 displays a similar pattern of expression but is expressed at very low level in fetal cochlea. {ECO:0000269|PubMed:11788194, ECO:0000269|PubMed:12433396, ECO:0000269|PubMed:15015129, ECO:0000269|PubMed:9624053}.; </t>
  </si>
  <si>
    <t xml:space="preserve">unclassifiable (Anatomical System);liver;testis;retina;</t>
  </si>
  <si>
    <t xml:space="preserve">dorsal root ganglion;superior cervical ganglion;adrenal gland;temporal lobe;ciliary ganglion;atrioventricular node;trigeminal ganglion;skin;skeletal muscle;cerebellum;</t>
  </si>
  <si>
    <t xml:space="preserve">USP32</t>
  </si>
  <si>
    <t xml:space="preserve">myocardium;smooth muscle;ovary;salivary gland;sympathetic chain;colon;parathyroid;fovea centralis;choroid;skin;retina;bone marrow;uterus;prostate;optic nerve;atrium;whole body;frontal lobe;cochlea;endometrium;larynx;bone;thyroid;testis;germinal center;spinal ganglion;brain;artery;gall bladder;unclassifiable (Anatomical System);heart;tongue;islets of Langerhans;blood;lens;breast;pancreas;lung;adrenal gland;placenta;macula lutea;visual apparatus;alveolus;liver;head and neck;spleen;kidney;mammary gland;aorta;stomach;</t>
  </si>
  <si>
    <t xml:space="preserve">superior cervical ganglion;testis - interstitial;subthalamic nucleus;testis - seminiferous tubule;testis;ciliary ganglion;atrioventricular node;skeletal muscle;parietal lobe;cingulate cortex;</t>
  </si>
  <si>
    <t xml:space="preserve">USP54</t>
  </si>
  <si>
    <t xml:space="preserve">TISSUE SPECIFICITY: Weakly expressed in a few tissues. {ECO:0000269|PubMed:14715245}.; </t>
  </si>
  <si>
    <t xml:space="preserve">umbilical cord;colon;skin;uterus;prostate;frontal lobe;endometrium;larynx;thyroid;testis;amniotic fluid;germinal center;brain;unclassifiable (Anatomical System);lymph node;heart;pineal body;blood;skeletal muscle;breast;lung;hypopharynx;spleen;head and neck;cervix;stomach;</t>
  </si>
  <si>
    <t xml:space="preserve">VARS2</t>
  </si>
  <si>
    <t xml:space="preserve">lymphoreticular;ovary;salivary gland;intestine;colon;parathyroid;skin;retina;uterus;prostate;frontal lobe;endometrium;larynx;thyroid;germinal center;brain;bladder;unclassifiable (Anatomical System);cartilage;pharynx;blood;pancreas;lung;placenta;visual apparatus;hippocampus;liver;spleen;head and neck;cervix;kidney;stomach;aorta;</t>
  </si>
  <si>
    <t xml:space="preserve">VGLL4</t>
  </si>
  <si>
    <t xml:space="preserve">lymphoreticular;ovary;skin;bone marrow;retina;prostate;optic nerve;frontal lobe;cochlea;endometrium;thyroid;iris;germinal center;brain;heart;cartilage;adrenal cortex;blood;lens;skeletal muscle;breast;visual apparatus;macula lutea;liver;alveolus;cervix;spleen;mammary gland;colon;parathyroid;choroid;fovea centralis;uterus;whole body;larynx;bone;pituitary gland;testis;unclassifiable (Anatomical System);lymph node;islets of Langerhans;bile duct;pancreas;lung;nasopharynx;placenta;hippocampus;head and neck;kidney;stomach;</t>
  </si>
  <si>
    <t xml:space="preserve">dorsal root ganglion;superior cervical ganglion;prefrontal cortex;ciliary ganglion;atrioventricular node;trigeminal ganglion;</t>
  </si>
  <si>
    <t xml:space="preserve">VHL</t>
  </si>
  <si>
    <t xml:space="preserve">TISSUE SPECIFICITY: Expressed in the adult and fetal brain and kidney.; </t>
  </si>
  <si>
    <t xml:space="preserve">unclassifiable (Anatomical System);heart;tongue;islets of Langerhans;colon;blood;vein;skin;bone marrow;breast;uterus;prostate;whole body;lung;larynx;bone;thyroid;placenta;visual apparatus;liver;hypopharynx;testis;head and neck;spleen;brain;stomach;</t>
  </si>
  <si>
    <t xml:space="preserve">superior cervical ganglion;appendix;globus pallidus;pons;trigeminal ganglion;</t>
  </si>
  <si>
    <t xml:space="preserve">VIM</t>
  </si>
  <si>
    <t xml:space="preserve">TISSUE SPECIFICITY: Highly expressed in fibroblasts, some expression in T- and B-lymphocytes, and little or no expression in Burkitt's lymphoma cell lines. Expressed in many hormone- independent mammary carcinoma cell lines. {ECO:0000269|PubMed:2472876, ECO:0000269|PubMed:3371665}.; </t>
  </si>
  <si>
    <t xml:space="preserve">unclassifiable (Anatomical System);ovary;hypothalamus;colon;skin;bile duct;uterus;prostate;frontal lobe;bone;thyroid;placenta;hippocampus;liver;testis;head and neck;cervix;brain;mammary gland;stomach;</t>
  </si>
  <si>
    <t xml:space="preserve">dorsal root ganglion;superior cervical ganglion;olfactory bulb;smooth muscle;adipose tissue;ciliary ganglion;atrioventricular node;trigeminal ganglion;</t>
  </si>
  <si>
    <t xml:space="preserve">VMAC</t>
  </si>
  <si>
    <t xml:space="preserve">uterus;prostate;salivary gland;liver;skin;</t>
  </si>
  <si>
    <t xml:space="preserve">superior cervical ganglion;subthalamic nucleus;ciliary ganglion;atrioventricular node;</t>
  </si>
  <si>
    <t xml:space="preserve">VPS37C</t>
  </si>
  <si>
    <t xml:space="preserve">ovary;colon;parathyroid;fovea centralis;choroid;skin;retina;uterus;prostate;optic nerve;endometrium;larynx;thyroid;iris;testis;brain;unclassifiable (Anatomical System);heart;cartilage;islets of Langerhans;hypothalamus;adrenal cortex;lens;pancreas;lung;placenta;macula lutea;visual apparatus;liver;spleen;head and neck;stomach;thymus;</t>
  </si>
  <si>
    <t xml:space="preserve">VPS54</t>
  </si>
  <si>
    <t xml:space="preserve">smooth muscle;ovary;salivary gland;intestine;colon;parathyroid;skin;bone marrow;uterus;prostate;endometrium;bone;testis;germinal center;brain;artery;bladder;unclassifiable (Anatomical System);lymph node;cartilage;heart;tongue;islets of Langerhans;pharynx;blood;pancreas;lung;placenta;visual apparatus;hypopharynx;liver;head and neck;kidney;aorta;stomach;</t>
  </si>
  <si>
    <t xml:space="preserve">ciliary ganglion;</t>
  </si>
  <si>
    <t xml:space="preserve">VSX1</t>
  </si>
  <si>
    <t xml:space="preserve">TISSUE SPECIFICITY: In the adult eye, expressed in lens, iris, ciliary body, choroid, optical nerve head and, most strongly, in retina, but not expressed in sclera and cornea. According to PubMed 11978762, expressed in adult retina but not in lens and cornea. Within adult retina, found exclusively in the inner nuclear layer. Isoform 1, isoform 2, isoform 3 and isoform 4 expressed in adult retina, but not in brain, heart, kidney, liver, lung, pancreas, placenta and skeletal muscle. Not expressed in thymus and spleen. Expressed in embryonic craniofacial tissue. Expressed in fetal (week 14) retina. Strongly expressed in neonatal retina (day 0), weakly in neonatal lens (day 0), choroid (day 0) and cornea (day 0, 4; month 9). {ECO:0000269|PubMed:10673340, ECO:0000269|PubMed:10903837, ECO:0000269|PubMed:11978762, ECO:0000269|PubMed:18253095}.; </t>
  </si>
  <si>
    <t xml:space="preserve">VWA2</t>
  </si>
  <si>
    <t xml:space="preserve">TISSUE SPECIFICITY: Expression is generally absent in normal colon and other normal body tissues, but it is induced an average of 78- fold in Stage II, III, and IV colon cancers, as well as in colon adenomas and colon cancer cell lines. {ECO:0000269|PubMed:15580307}.; </t>
  </si>
  <si>
    <t xml:space="preserve">unclassifiable (Anatomical System);colon;</t>
  </si>
  <si>
    <t xml:space="preserve">superior cervical ganglion;ciliary ganglion;atrioventricular node;trigeminal ganglion;</t>
  </si>
  <si>
    <t xml:space="preserve">VWA7</t>
  </si>
  <si>
    <t xml:space="preserve">TISSUE SPECIFICITY: Expressed at low level in different cell lines. {ECO:0000269|PubMed:10803853}.; </t>
  </si>
  <si>
    <t xml:space="preserve">WDR3</t>
  </si>
  <si>
    <t xml:space="preserve">unclassifiable (Anatomical System);medulla oblongata;lymph node;heart;sympathetic chain;adrenal cortex;colon;blood;skin;uterus;prostate;whole body;lung;endometrium;larynx;placenta;visual apparatus;testis;head and neck;germinal center;kidney;brain;mammary gland;aorta;stomach;</t>
  </si>
  <si>
    <t xml:space="preserve">dorsal root ganglion;testis - interstitial;superior cervical ganglion;testis - seminiferous tubule;ciliary ganglion;pons;atrioventricular node;trigeminal ganglion;skeletal muscle;</t>
  </si>
  <si>
    <t xml:space="preserve">WDR35</t>
  </si>
  <si>
    <t xml:space="preserve">ovary;colon;parathyroid;fovea centralis;choroid;skin;retina;uterus;optic nerve;frontal lobe;thyroid;bone;testis;germinal center;brain;unclassifiable (Anatomical System);heart;cartilage;tongue;islets of Langerhans;hypothalamus;spinal cord;lens;skeletal muscle;lung;placenta;macula lutea;head and neck;kidney;mammary gland;stomach;</t>
  </si>
  <si>
    <t xml:space="preserve">dorsal root ganglion;superior cervical ganglion;subthalamic nucleus;globus pallidus;ciliary ganglion;atrioventricular node;trigeminal ganglion;skeletal muscle;</t>
  </si>
  <si>
    <t xml:space="preserve">WDR38</t>
  </si>
  <si>
    <t xml:space="preserve">WDR97</t>
  </si>
  <si>
    <t xml:space="preserve">WNK2</t>
  </si>
  <si>
    <t xml:space="preserve">TISSUE SPECIFICITY: Expressed in various cancer cell lines (at protein level). Predominantly expressed in heart, brain, skeletal muscle and colon. {ECO:0000269|PubMed:11571656, ECO:0000269|PubMed:17667937, ECO:0000269|PubMed:21733846}.; </t>
  </si>
  <si>
    <t xml:space="preserve">myocardium;ovary;colon;skin;retina;uterus;prostate;optic nerve;frontal lobe;endometrium;larynx;iris;testis;germinal center;brain;unclassifiable (Anatomical System);lymph node;cartilage;heart;lacrimal gland;islets of Langerhans;lens;pancreas;lung;placenta;visual apparatus;alveolus;head and neck;mammary gland;peripheral nerve;</t>
  </si>
  <si>
    <t xml:space="preserve">dorsal root ganglion;superior cervical ganglion;subthalamic nucleus;adrenal gland;globus pallidus;ciliary ganglion;atrioventricular node;trigeminal ganglion;skin;cerebellum;</t>
  </si>
  <si>
    <t xml:space="preserve">WWOX</t>
  </si>
  <si>
    <t xml:space="preserve">TISSUE SPECIFICITY: Widely expressed. Strongly expressed in testis, prostate, and ovary. Overexpressed in cancer cell lines. Isoform 5 and isoform 6 may only be expressed in tumor cell lines. {ECO:0000269|PubMed:10786676, ECO:0000269|PubMed:11719429}.; </t>
  </si>
  <si>
    <t xml:space="preserve">unclassifiable (Anatomical System);heart;islets of Langerhans;salivary gland;blood;skin;skeletal muscle;uterus;prostate;lung;placenta;liver;testis;kidney;brain;stomach;</t>
  </si>
  <si>
    <t xml:space="preserve">dorsal root ganglion;superior cervical ganglion;ciliary ganglion;pons;atrioventricular node;trigeminal ganglion;skeletal muscle;cerebellum;</t>
  </si>
  <si>
    <t xml:space="preserve">XPC</t>
  </si>
  <si>
    <t xml:space="preserve">smooth muscle;ovary;sympathetic chain;colon;parathyroid;choroid;skin;retina;bone marrow;uterus;prostate;optic nerve;whole body;frontal lobe;endometrium;bone;thyroid;testis;germinal center;brain;artery;unclassifiable (Anatomical System);lymph node;cartilage;heart;islets of Langerhans;hypothalamus;muscle;pharynx;blood;skeletal muscle;breast;pancreas;lung;nasopharynx;trabecular meshwork;placenta;visual apparatus;duodenum;liver;spleen;kidney;aorta;stomach;peripheral nerve;</t>
  </si>
  <si>
    <t xml:space="preserve">XRCC1</t>
  </si>
  <si>
    <t xml:space="preserve">ovary;colon;skin;retina;bone marrow;uterus;prostate;endometrium;thyroid;bone;iris;testis;germinal center;brain;unclassifiable (Anatomical System);lymph node;heart;cartilage;islets of Langerhans;hypothalamus;muscle;lens;breast;pancreas;lung;placenta;visual apparatus;liver;cervix;kidney;mammary gland;</t>
  </si>
  <si>
    <t xml:space="preserve">temporal lobe;atrioventricular node;</t>
  </si>
  <si>
    <t xml:space="preserve">YOD1</t>
  </si>
  <si>
    <t xml:space="preserve">unclassifiable (Anatomical System);meninges;medulla oblongata;pia mater;endometrium;placenta;liver;colon;dura mater;germinal center;skin;</t>
  </si>
  <si>
    <t xml:space="preserve">superior cervical ganglion;fetal liver;parietal lobe;</t>
  </si>
  <si>
    <t xml:space="preserve">ZAN</t>
  </si>
  <si>
    <t xml:space="preserve">TISSUE SPECIFICITY: In testis, primarily in haploid spermatids.; </t>
  </si>
  <si>
    <t xml:space="preserve">ZBTB16</t>
  </si>
  <si>
    <t xml:space="preserve">TISSUE SPECIFICITY: Within the hematopoietic system, PLZF is expressed in bone marrow, early myeloid cell lines and peripheral blood mononuclear cells. Also expressed in the ovary, and at lower levels, in the kidney and lung.; </t>
  </si>
  <si>
    <t xml:space="preserve">colon;parathyroid;fovea centralis;choroid;bone marrow;retina;prostate;optic nerve;whole body;frontal lobe;thyroid;testis;pineal gland;brain;unclassifiable (Anatomical System);cartilage;tongue;adrenal cortex;blood;lens;skeletal muscle;lung;adrenal gland;placenta;macula lutea;spleen;kidney;</t>
  </si>
  <si>
    <t xml:space="preserve">superior cervical ganglion;atrioventricular node;skeletal muscle;</t>
  </si>
  <si>
    <t xml:space="preserve">ZBTB21</t>
  </si>
  <si>
    <t xml:space="preserve">TISSUE SPECIFICITY: Ubiquitous in fetal and adult tissues. {ECO:0000269|PubMed:15629158}.; </t>
  </si>
  <si>
    <t xml:space="preserve">ZCCHC6</t>
  </si>
  <si>
    <t xml:space="preserve">ovary;colon;parathyroid;skin;bone marrow;uterus;prostate;frontal lobe;endometrium;thyroid;bone;testis;germinal center;spinal ganglion;unclassifiable (Anatomical System);heart;cartilage;islets of Langerhans;blood;lens;skeletal muscle;breast;lung;placenta;liver;spleen;kidney;mammary gland;stomach;</t>
  </si>
  <si>
    <t xml:space="preserve">dorsal root ganglion;subthalamic nucleus;superior cervical ganglion;ciliary ganglion;pons;atrioventricular node;trigeminal ganglion;whole blood;parietal lobe;</t>
  </si>
  <si>
    <t xml:space="preserve">ZGRF1</t>
  </si>
  <si>
    <t xml:space="preserve">ZNF280D</t>
  </si>
  <si>
    <t xml:space="preserve">colon;parathyroid;skin;retina;bone marrow;uterus;whole body;frontal lobe;cochlea;thyroid;testis;germinal center;brain;artery;pineal gland;unclassifiable (Anatomical System);lymph node;cartilage;heart;islets of Langerhans;hypothalamus;adrenal cortex;skeletal muscle;pancreas;lung;adrenal gland;placenta;visual apparatus;hippocampus;alveolus;liver;spleen;head and neck;kidney;stomach;aorta;thymus;</t>
  </si>
  <si>
    <t xml:space="preserve">subthalamic nucleus;fetal brain;</t>
  </si>
  <si>
    <t xml:space="preserve">ZNF398</t>
  </si>
  <si>
    <t xml:space="preserve">ovary;salivary gland;colon;parathyroid;skin;retina;bone marrow;uterus;prostate;frontal lobe;endometrium;bone;testis;germinal center;brain;unclassifiable (Anatomical System);amygdala;lymph node;cartilage;heart;tongue;islets of Langerhans;adrenal cortex;blood;skeletal muscle;bile duct;breast;pancreas;lung;nasopharynx;placenta;visual apparatus;liver;spleen;head and neck;kidney;mammary gland;stomach;</t>
  </si>
  <si>
    <t xml:space="preserve">dorsal root ganglion;superior cervical ganglion;globus pallidus;atrioventricular node;trigeminal ganglion;cerebellum;</t>
  </si>
  <si>
    <t xml:space="preserve">ZNF585A</t>
  </si>
  <si>
    <t xml:space="preserve">ovary;colon;parathyroid;choroid;fovea centralis;skin;bone marrow;retina;uterus;prostate;whole body;optic nerve;endometrium;testis;germinal center;brain;bladder;unclassifiable (Anatomical System);lymph node;heart;cartilage;islets of Langerhans;blood;lens;skeletal muscle;breast;lung;epididymis;nasopharynx;placenta;macula lutea;liver;kidney;mammary gland;</t>
  </si>
  <si>
    <t xml:space="preserve">superior cervical ganglion;globus pallidus;ciliary ganglion;atrioventricular node;trigeminal ganglion;</t>
  </si>
</sst>
</file>

<file path=xl/styles.xml><?xml version="1.0" encoding="utf-8"?>
<styleSheet xmlns="http://schemas.openxmlformats.org/spreadsheetml/2006/main">
  <numFmts count="1">
    <numFmt numFmtId="164" formatCode="General"/>
  </numFmts>
  <fonts count="5">
    <font>
      <sz val="11"/>
      <color rgb="FF000000"/>
      <name val="Calibri"/>
      <family val="2"/>
      <charset val="1"/>
    </font>
    <font>
      <sz val="10"/>
      <name val="Arial"/>
      <family val="0"/>
    </font>
    <font>
      <sz val="10"/>
      <name val="Arial"/>
      <family val="0"/>
    </font>
    <font>
      <sz val="10"/>
      <name val="Arial"/>
      <family val="0"/>
    </font>
    <font>
      <b val="true"/>
      <sz val="11"/>
      <name val="Cambria"/>
      <family val="0"/>
      <charset val="1"/>
    </font>
  </fonts>
  <fills count="5">
    <fill>
      <patternFill patternType="none"/>
    </fill>
    <fill>
      <patternFill patternType="gray125"/>
    </fill>
    <fill>
      <patternFill patternType="solid">
        <fgColor rgb="FF800080"/>
        <bgColor rgb="FF800080"/>
      </patternFill>
    </fill>
    <fill>
      <patternFill patternType="solid">
        <fgColor rgb="FFFF8000"/>
        <bgColor rgb="FFFF6600"/>
      </patternFill>
    </fill>
    <fill>
      <patternFill patternType="solid">
        <fgColor rgb="FF808080"/>
        <bgColor rgb="FF969696"/>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5">
    <dxf>
      <fill>
        <patternFill patternType="solid">
          <fgColor rgb="00FFFFFF"/>
        </patternFill>
      </fill>
    </dxf>
    <dxf>
      <fill>
        <patternFill patternType="solid">
          <fgColor rgb="FF800080"/>
        </patternFill>
      </fill>
    </dxf>
    <dxf>
      <fill>
        <patternFill patternType="solid">
          <fgColor rgb="FF808080"/>
        </patternFill>
      </fill>
    </dxf>
    <dxf>
      <fill>
        <patternFill patternType="solid">
          <fgColor rgb="FFFF8000"/>
        </patternFill>
      </fill>
    </dxf>
    <dxf>
      <fill>
        <patternFill patternType="solid">
          <fgColor rgb="FFFCFCFC"/>
          <bgColor rgb="FF1B1E2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8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60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14" activeCellId="0" sqref="K14"/>
    </sheetView>
  </sheetViews>
  <sheetFormatPr defaultColWidth="8.6875" defaultRowHeight="15" zeroHeight="false" outlineLevelRow="0" outlineLevelCol="0"/>
  <cols>
    <col collapsed="false" customWidth="true" hidden="false" outlineLevel="0" max="11" min="11" style="0" width="20.83"/>
    <col collapsed="false" customWidth="true" hidden="false" outlineLevel="0" max="13" min="13" style="0" width="17.09"/>
    <col collapsed="false" customWidth="true" hidden="false" outlineLevel="0" max="15" min="15" style="0" width="26.81"/>
    <col collapsed="false" customWidth="true" hidden="false" outlineLevel="0" max="16" min="16" style="0" width="17.78"/>
    <col collapsed="false" customWidth="true" hidden="false" outlineLevel="0" max="27" min="27" style="0" width="27.65"/>
    <col collapsed="false" customWidth="true" hidden="false" outlineLevel="0" max="28" min="28" style="0" width="30.15"/>
  </cols>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customFormat="false" ht="15" hidden="false" customHeight="false" outlineLevel="0" collapsed="false">
      <c r="B2" s="0" t="str">
        <f aca="false">HYPERLINK("https://genome.ucsc.edu/cgi-bin/hgTracks?db=hg19&amp;position=chr11%3A71155265%2D71155265", "chr11:71155265")</f>
        <v>chr11:71155265</v>
      </c>
      <c r="C2" s="0" t="s">
        <v>38</v>
      </c>
      <c r="D2" s="0" t="n">
        <v>71155265</v>
      </c>
      <c r="E2" s="0" t="n">
        <v>71155265</v>
      </c>
      <c r="F2" s="0" t="s">
        <v>39</v>
      </c>
      <c r="G2" s="0" t="s">
        <v>40</v>
      </c>
      <c r="H2" s="0" t="s">
        <v>41</v>
      </c>
      <c r="I2" s="0" t="s">
        <v>42</v>
      </c>
      <c r="J2" s="0" t="s">
        <v>43</v>
      </c>
      <c r="K2" s="0" t="s">
        <v>44</v>
      </c>
      <c r="L2" s="0" t="str">
        <f aca="false">HYPERLINK("https://www.ncbi.nlm.nih.gov/snp/rs140748737", "rs140748737")</f>
        <v>rs140748737</v>
      </c>
      <c r="M2" s="0" t="str">
        <f aca="false">HYPERLINK("https://www.genecards.org/Search/Keyword?queryString=%5Baliases%5D(%20DHCR7%20)&amp;keywords=DHCR7", "DHCR7")</f>
        <v>DHCR7</v>
      </c>
      <c r="N2" s="0" t="s">
        <v>45</v>
      </c>
      <c r="O2" s="0" t="s">
        <v>46</v>
      </c>
      <c r="P2" s="0" t="s">
        <v>47</v>
      </c>
      <c r="Q2" s="0" t="n">
        <v>0.0221</v>
      </c>
      <c r="R2" s="0" t="n">
        <v>0.0196</v>
      </c>
      <c r="S2" s="0" t="n">
        <v>0.0183</v>
      </c>
      <c r="T2" s="0" t="n">
        <v>-1</v>
      </c>
      <c r="U2" s="0" t="n">
        <v>0.0249</v>
      </c>
      <c r="V2" s="0" t="s">
        <v>48</v>
      </c>
      <c r="W2" s="0" t="s">
        <v>40</v>
      </c>
      <c r="X2" s="0" t="s">
        <v>46</v>
      </c>
      <c r="Y2" s="0" t="s">
        <v>46</v>
      </c>
      <c r="Z2" s="0" t="s">
        <v>49</v>
      </c>
      <c r="AA2" s="0" t="s">
        <v>46</v>
      </c>
      <c r="AB2" s="0" t="s">
        <v>50</v>
      </c>
      <c r="AC2" s="0" t="s">
        <v>51</v>
      </c>
      <c r="AD2" s="0" t="s">
        <v>52</v>
      </c>
      <c r="AE2" s="0" t="s">
        <v>53</v>
      </c>
      <c r="AF2" s="0" t="s">
        <v>54</v>
      </c>
      <c r="AG2" s="0" t="s">
        <v>55</v>
      </c>
      <c r="AH2" s="0" t="s">
        <v>46</v>
      </c>
      <c r="AI2" s="0" t="s">
        <v>46</v>
      </c>
      <c r="AJ2" s="0" t="s">
        <v>46</v>
      </c>
      <c r="AK2" s="0" t="s">
        <v>46</v>
      </c>
      <c r="AL2" s="0" t="s">
        <v>46</v>
      </c>
    </row>
    <row r="3" customFormat="false" ht="15" hidden="false" customHeight="false" outlineLevel="0" collapsed="false">
      <c r="B3" s="0" t="str">
        <f aca="false">HYPERLINK("https://genome.ucsc.edu/cgi-bin/hgTracks?db=hg19&amp;position=chr1%3A155265446%2D155265446", "chr1:155265446")</f>
        <v>chr1:155265446</v>
      </c>
      <c r="C3" s="0" t="s">
        <v>56</v>
      </c>
      <c r="D3" s="0" t="n">
        <v>155265446</v>
      </c>
      <c r="E3" s="0" t="n">
        <v>155265446</v>
      </c>
      <c r="F3" s="0" t="s">
        <v>39</v>
      </c>
      <c r="G3" s="0" t="s">
        <v>57</v>
      </c>
      <c r="H3" s="0" t="s">
        <v>58</v>
      </c>
      <c r="I3" s="0" t="s">
        <v>59</v>
      </c>
      <c r="J3" s="0" t="s">
        <v>60</v>
      </c>
      <c r="K3" s="0" t="s">
        <v>61</v>
      </c>
      <c r="L3" s="0" t="str">
        <f aca="false">HYPERLINK("https://www.ncbi.nlm.nih.gov/snp/rs8177971", "rs8177971")</f>
        <v>rs8177971</v>
      </c>
      <c r="M3" s="0" t="str">
        <f aca="false">HYPERLINK("https://www.genecards.org/Search/Keyword?queryString=%5Baliases%5D(%20PKLR%20)&amp;keywords=PKLR", "PKLR")</f>
        <v>PKLR</v>
      </c>
      <c r="N3" s="0" t="s">
        <v>62</v>
      </c>
      <c r="O3" s="0" t="s">
        <v>46</v>
      </c>
      <c r="P3" s="0" t="s">
        <v>46</v>
      </c>
      <c r="Q3" s="0" t="n">
        <v>0.0219</v>
      </c>
      <c r="R3" s="0" t="n">
        <v>0.0211</v>
      </c>
      <c r="S3" s="0" t="n">
        <v>0.0217</v>
      </c>
      <c r="T3" s="0" t="n">
        <v>-1</v>
      </c>
      <c r="U3" s="0" t="n">
        <v>0.0244</v>
      </c>
      <c r="V3" s="0" t="s">
        <v>46</v>
      </c>
      <c r="W3" s="0" t="s">
        <v>46</v>
      </c>
      <c r="X3" s="0" t="s">
        <v>63</v>
      </c>
      <c r="Y3" s="0" t="s">
        <v>64</v>
      </c>
      <c r="Z3" s="0" t="s">
        <v>46</v>
      </c>
      <c r="AA3" s="0" t="s">
        <v>46</v>
      </c>
      <c r="AB3" s="0" t="s">
        <v>46</v>
      </c>
      <c r="AC3" s="0" t="s">
        <v>51</v>
      </c>
      <c r="AD3" s="0" t="s">
        <v>52</v>
      </c>
      <c r="AE3" s="0" t="s">
        <v>65</v>
      </c>
      <c r="AF3" s="0" t="s">
        <v>66</v>
      </c>
      <c r="AG3" s="0" t="s">
        <v>67</v>
      </c>
      <c r="AH3" s="0" t="s">
        <v>68</v>
      </c>
      <c r="AI3" s="0" t="s">
        <v>46</v>
      </c>
      <c r="AJ3" s="0" t="s">
        <v>46</v>
      </c>
      <c r="AK3" s="0" t="s">
        <v>46</v>
      </c>
      <c r="AL3" s="0" t="s">
        <v>46</v>
      </c>
    </row>
    <row r="4" customFormat="false" ht="15" hidden="false" customHeight="false" outlineLevel="0" collapsed="false">
      <c r="A4" s="2"/>
      <c r="B4" s="2" t="str">
        <f aca="false">HYPERLINK("https://genome.ucsc.edu/cgi-bin/hgTracks?db=hg19&amp;position=chr11%3A46761055%2D46761055", "chr11:46761055")</f>
        <v>chr11:46761055</v>
      </c>
      <c r="C4" s="2" t="s">
        <v>38</v>
      </c>
      <c r="D4" s="2" t="n">
        <v>46761055</v>
      </c>
      <c r="E4" s="2" t="n">
        <v>46761055</v>
      </c>
      <c r="F4" s="2" t="s">
        <v>69</v>
      </c>
      <c r="G4" s="2" t="s">
        <v>57</v>
      </c>
      <c r="H4" s="2" t="s">
        <v>70</v>
      </c>
      <c r="I4" s="2" t="s">
        <v>71</v>
      </c>
      <c r="J4" s="2" t="s">
        <v>72</v>
      </c>
      <c r="K4" s="2" t="s">
        <v>73</v>
      </c>
      <c r="L4" s="2" t="str">
        <f aca="false">HYPERLINK("https://www.ncbi.nlm.nih.gov/snp/rs1799963", "rs1799963")</f>
        <v>rs1799963</v>
      </c>
      <c r="M4" s="2" t="str">
        <f aca="false">HYPERLINK("https://www.genecards.org/Search/Keyword?queryString=%5Baliases%5D(%20F2%20)&amp;keywords=F2", "F2")</f>
        <v>F2</v>
      </c>
      <c r="N4" s="2" t="s">
        <v>74</v>
      </c>
      <c r="O4" s="2" t="s">
        <v>46</v>
      </c>
      <c r="P4" s="2" t="s">
        <v>75</v>
      </c>
      <c r="Q4" s="2" t="n">
        <v>0.0177</v>
      </c>
      <c r="R4" s="2" t="n">
        <v>0.0136</v>
      </c>
      <c r="S4" s="2" t="n">
        <v>0.0199</v>
      </c>
      <c r="T4" s="2" t="n">
        <v>-1</v>
      </c>
      <c r="U4" s="2" t="n">
        <v>0.0203</v>
      </c>
      <c r="V4" s="2" t="s">
        <v>46</v>
      </c>
      <c r="W4" s="2" t="s">
        <v>46</v>
      </c>
      <c r="X4" s="2" t="s">
        <v>46</v>
      </c>
      <c r="Y4" s="2" t="s">
        <v>46</v>
      </c>
      <c r="Z4" s="2" t="s">
        <v>46</v>
      </c>
      <c r="AA4" s="2" t="s">
        <v>46</v>
      </c>
      <c r="AB4" s="2" t="s">
        <v>76</v>
      </c>
      <c r="AC4" s="2" t="s">
        <v>51</v>
      </c>
      <c r="AD4" s="2" t="s">
        <v>52</v>
      </c>
      <c r="AE4" s="2" t="s">
        <v>77</v>
      </c>
      <c r="AF4" s="2" t="s">
        <v>78</v>
      </c>
      <c r="AG4" s="2" t="s">
        <v>79</v>
      </c>
      <c r="AH4" s="2" t="s">
        <v>80</v>
      </c>
      <c r="AI4" s="2" t="s">
        <v>46</v>
      </c>
      <c r="AJ4" s="2" t="s">
        <v>46</v>
      </c>
      <c r="AK4" s="2" t="s">
        <v>46</v>
      </c>
      <c r="AL4" s="2" t="s">
        <v>46</v>
      </c>
    </row>
    <row r="5" customFormat="false" ht="15" hidden="false" customHeight="false" outlineLevel="0" collapsed="false">
      <c r="B5" s="0" t="str">
        <f aca="false">HYPERLINK("https://genome.ucsc.edu/cgi-bin/hgTracks?db=hg19&amp;position=chr15%3A99505828%2D99505828", "chr15:99505828")</f>
        <v>chr15:99505828</v>
      </c>
      <c r="C5" s="0" t="s">
        <v>81</v>
      </c>
      <c r="D5" s="0" t="n">
        <v>99505828</v>
      </c>
      <c r="E5" s="0" t="n">
        <v>99505828</v>
      </c>
      <c r="F5" s="0" t="s">
        <v>57</v>
      </c>
      <c r="G5" s="0" t="s">
        <v>69</v>
      </c>
      <c r="H5" s="0" t="s">
        <v>82</v>
      </c>
      <c r="I5" s="0" t="s">
        <v>83</v>
      </c>
      <c r="J5" s="0" t="s">
        <v>84</v>
      </c>
      <c r="K5" s="0" t="s">
        <v>85</v>
      </c>
      <c r="L5" s="0" t="str">
        <f aca="false">HYPERLINK("https://www.ncbi.nlm.nih.gov/snp/rs28674628", "rs28674628")</f>
        <v>rs28674628</v>
      </c>
      <c r="M5" s="0" t="str">
        <f aca="false">HYPERLINK("https://www.genecards.org/Search/Keyword?queryString=%5Baliases%5D(%20IGF1R%20)&amp;keywords=IGF1R", "IGF1R")</f>
        <v>IGF1R</v>
      </c>
      <c r="N5" s="0" t="s">
        <v>86</v>
      </c>
      <c r="O5" s="0" t="s">
        <v>46</v>
      </c>
      <c r="P5" s="0" t="s">
        <v>87</v>
      </c>
      <c r="Q5" s="0" t="n">
        <v>0.025</v>
      </c>
      <c r="R5" s="0" t="n">
        <v>0.0227</v>
      </c>
      <c r="S5" s="0" t="n">
        <v>0.0225</v>
      </c>
      <c r="T5" s="0" t="n">
        <v>-1</v>
      </c>
      <c r="U5" s="0" t="n">
        <v>0.0234</v>
      </c>
      <c r="V5" s="0" t="s">
        <v>46</v>
      </c>
      <c r="W5" s="0" t="s">
        <v>46</v>
      </c>
      <c r="X5" s="0" t="s">
        <v>46</v>
      </c>
      <c r="Y5" s="0" t="s">
        <v>46</v>
      </c>
      <c r="Z5" s="0" t="s">
        <v>46</v>
      </c>
      <c r="AA5" s="0" t="s">
        <v>46</v>
      </c>
      <c r="AB5" s="0" t="s">
        <v>46</v>
      </c>
      <c r="AC5" s="0" t="s">
        <v>51</v>
      </c>
      <c r="AD5" s="0" t="s">
        <v>88</v>
      </c>
      <c r="AE5" s="0" t="s">
        <v>89</v>
      </c>
      <c r="AF5" s="0" t="s">
        <v>90</v>
      </c>
      <c r="AG5" s="0" t="s">
        <v>91</v>
      </c>
      <c r="AH5" s="0" t="s">
        <v>92</v>
      </c>
      <c r="AI5" s="0" t="s">
        <v>46</v>
      </c>
      <c r="AJ5" s="0" t="s">
        <v>46</v>
      </c>
      <c r="AK5" s="0" t="s">
        <v>46</v>
      </c>
      <c r="AL5" s="0" t="s">
        <v>46</v>
      </c>
    </row>
    <row r="6" customFormat="false" ht="15" hidden="false" customHeight="false" outlineLevel="0" collapsed="false">
      <c r="A6" s="2"/>
      <c r="B6" s="2" t="str">
        <f aca="false">HYPERLINK("https://genome.ucsc.edu/cgi-bin/hgTracks?db=hg19&amp;position=chr2%3A44539792%2D44539792", "chr2:44539792")</f>
        <v>chr2:44539792</v>
      </c>
      <c r="C6" s="2" t="s">
        <v>93</v>
      </c>
      <c r="D6" s="2" t="n">
        <v>44539792</v>
      </c>
      <c r="E6" s="2" t="n">
        <v>44539792</v>
      </c>
      <c r="F6" s="2" t="s">
        <v>40</v>
      </c>
      <c r="G6" s="2" t="s">
        <v>39</v>
      </c>
      <c r="H6" s="2" t="s">
        <v>94</v>
      </c>
      <c r="I6" s="2" t="s">
        <v>95</v>
      </c>
      <c r="J6" s="2" t="s">
        <v>96</v>
      </c>
      <c r="K6" s="2" t="s">
        <v>97</v>
      </c>
      <c r="L6" s="2" t="str">
        <f aca="false">HYPERLINK("https://www.ncbi.nlm.nih.gov/snp/rs121912691", "rs121912691")</f>
        <v>rs121912691</v>
      </c>
      <c r="M6" s="2" t="str">
        <f aca="false">HYPERLINK("https://www.genecards.org/Search/Keyword?queryString=%5Baliases%5D(%20SLC3A1%20)&amp;keywords=SLC3A1", "SLC3A1")</f>
        <v>SLC3A1</v>
      </c>
      <c r="N6" s="2" t="s">
        <v>98</v>
      </c>
      <c r="O6" s="2" t="s">
        <v>99</v>
      </c>
      <c r="P6" s="2" t="s">
        <v>100</v>
      </c>
      <c r="Q6" s="2" t="n">
        <v>0.0172</v>
      </c>
      <c r="R6" s="2" t="n">
        <v>0.0024</v>
      </c>
      <c r="S6" s="2" t="n">
        <v>0.0024</v>
      </c>
      <c r="T6" s="2" t="n">
        <v>-1</v>
      </c>
      <c r="U6" s="2" t="n">
        <v>0.0018</v>
      </c>
      <c r="V6" s="2" t="s">
        <v>101</v>
      </c>
      <c r="W6" s="2" t="s">
        <v>46</v>
      </c>
      <c r="X6" s="2" t="s">
        <v>46</v>
      </c>
      <c r="Y6" s="2" t="s">
        <v>46</v>
      </c>
      <c r="Z6" s="2" t="s">
        <v>102</v>
      </c>
      <c r="AA6" s="2" t="s">
        <v>103</v>
      </c>
      <c r="AB6" s="2" t="s">
        <v>104</v>
      </c>
      <c r="AC6" s="2" t="s">
        <v>51</v>
      </c>
      <c r="AD6" s="2" t="s">
        <v>52</v>
      </c>
      <c r="AE6" s="2" t="s">
        <v>105</v>
      </c>
      <c r="AF6" s="2" t="s">
        <v>106</v>
      </c>
      <c r="AG6" s="2" t="s">
        <v>107</v>
      </c>
      <c r="AH6" s="2" t="s">
        <v>108</v>
      </c>
      <c r="AI6" s="2" t="s">
        <v>46</v>
      </c>
      <c r="AJ6" s="2" t="s">
        <v>46</v>
      </c>
      <c r="AK6" s="2" t="s">
        <v>46</v>
      </c>
      <c r="AL6" s="2" t="s">
        <v>46</v>
      </c>
    </row>
    <row r="7" customFormat="false" ht="15" hidden="false" customHeight="false" outlineLevel="0" collapsed="false">
      <c r="B7" s="0" t="str">
        <f aca="false">HYPERLINK("https://genome.ucsc.edu/cgi-bin/hgTracks?db=hg19&amp;position=chr5%3A42700021%2D42700021", "chr5:42700021")</f>
        <v>chr5:42700021</v>
      </c>
      <c r="C7" s="0" t="s">
        <v>109</v>
      </c>
      <c r="D7" s="0" t="n">
        <v>42700021</v>
      </c>
      <c r="E7" s="0" t="n">
        <v>42700021</v>
      </c>
      <c r="F7" s="0" t="s">
        <v>39</v>
      </c>
      <c r="G7" s="0" t="s">
        <v>40</v>
      </c>
      <c r="H7" s="0" t="s">
        <v>110</v>
      </c>
      <c r="I7" s="0" t="s">
        <v>111</v>
      </c>
      <c r="J7" s="0" t="s">
        <v>112</v>
      </c>
      <c r="K7" s="0" t="s">
        <v>113</v>
      </c>
      <c r="L7" s="0" t="str">
        <f aca="false">HYPERLINK("https://www.ncbi.nlm.nih.gov/snp/rs121909362", "rs121909362")</f>
        <v>rs121909362</v>
      </c>
      <c r="M7" s="0" t="str">
        <f aca="false">HYPERLINK("https://www.genecards.org/Search/Keyword?queryString=%5Baliases%5D(%20GHR%20)&amp;keywords=GHR", "GHR")</f>
        <v>GHR</v>
      </c>
      <c r="N7" s="0" t="s">
        <v>98</v>
      </c>
      <c r="O7" s="0" t="s">
        <v>99</v>
      </c>
      <c r="P7" s="0" t="s">
        <v>114</v>
      </c>
      <c r="Q7" s="0" t="n">
        <v>0.017241</v>
      </c>
      <c r="R7" s="0" t="n">
        <v>0.0069</v>
      </c>
      <c r="S7" s="0" t="n">
        <v>0.0062</v>
      </c>
      <c r="T7" s="0" t="n">
        <v>-1</v>
      </c>
      <c r="U7" s="0" t="n">
        <v>0.0082</v>
      </c>
      <c r="V7" s="0" t="s">
        <v>101</v>
      </c>
      <c r="W7" s="0" t="s">
        <v>46</v>
      </c>
      <c r="X7" s="0" t="s">
        <v>46</v>
      </c>
      <c r="Y7" s="0" t="s">
        <v>46</v>
      </c>
      <c r="Z7" s="0" t="s">
        <v>49</v>
      </c>
      <c r="AA7" s="0" t="s">
        <v>115</v>
      </c>
      <c r="AB7" s="0" t="s">
        <v>116</v>
      </c>
      <c r="AC7" s="0" t="s">
        <v>51</v>
      </c>
      <c r="AD7" s="0" t="s">
        <v>52</v>
      </c>
      <c r="AE7" s="0" t="s">
        <v>117</v>
      </c>
      <c r="AF7" s="0" t="s">
        <v>118</v>
      </c>
      <c r="AG7" s="0" t="s">
        <v>119</v>
      </c>
      <c r="AH7" s="0" t="s">
        <v>120</v>
      </c>
      <c r="AI7" s="0" t="s">
        <v>46</v>
      </c>
      <c r="AJ7" s="0" t="s">
        <v>46</v>
      </c>
      <c r="AK7" s="0" t="s">
        <v>46</v>
      </c>
      <c r="AL7" s="0" t="s">
        <v>46</v>
      </c>
    </row>
    <row r="8" customFormat="false" ht="15" hidden="false" customHeight="false" outlineLevel="0" collapsed="false">
      <c r="B8" s="0" t="str">
        <f aca="false">HYPERLINK("https://genome.ucsc.edu/cgi-bin/hgTracks?db=hg19&amp;position=chr1%3A215802242%2D215802242", "chr1:215802242")</f>
        <v>chr1:215802242</v>
      </c>
      <c r="C8" s="0" t="s">
        <v>56</v>
      </c>
      <c r="D8" s="0" t="n">
        <v>215802242</v>
      </c>
      <c r="E8" s="0" t="n">
        <v>215802242</v>
      </c>
      <c r="F8" s="0" t="s">
        <v>39</v>
      </c>
      <c r="G8" s="0" t="s">
        <v>40</v>
      </c>
      <c r="H8" s="0" t="s">
        <v>121</v>
      </c>
      <c r="I8" s="0" t="s">
        <v>122</v>
      </c>
      <c r="J8" s="0" t="s">
        <v>123</v>
      </c>
      <c r="K8" s="0" t="s">
        <v>124</v>
      </c>
      <c r="L8" s="0" t="str">
        <f aca="false">HYPERLINK("https://www.ncbi.nlm.nih.gov/snp/rs111033269", "rs111033269")</f>
        <v>rs111033269</v>
      </c>
      <c r="M8" s="0" t="str">
        <f aca="false">HYPERLINK("https://www.genecards.org/Search/Keyword?queryString=%5Baliases%5D(%20USH2A%20)&amp;keywords=USH2A", "USH2A")</f>
        <v>USH2A</v>
      </c>
      <c r="N8" s="0" t="s">
        <v>98</v>
      </c>
      <c r="O8" s="0" t="s">
        <v>99</v>
      </c>
      <c r="P8" s="0" t="s">
        <v>125</v>
      </c>
      <c r="Q8" s="0" t="n">
        <v>0.0098</v>
      </c>
      <c r="R8" s="0" t="n">
        <v>0.0075</v>
      </c>
      <c r="S8" s="0" t="n">
        <v>0.0064</v>
      </c>
      <c r="T8" s="0" t="n">
        <v>-1</v>
      </c>
      <c r="U8" s="0" t="n">
        <v>0.0078</v>
      </c>
      <c r="V8" s="0" t="s">
        <v>126</v>
      </c>
      <c r="W8" s="0" t="s">
        <v>46</v>
      </c>
      <c r="X8" s="0" t="s">
        <v>46</v>
      </c>
      <c r="Y8" s="0" t="s">
        <v>46</v>
      </c>
      <c r="Z8" s="0" t="s">
        <v>49</v>
      </c>
      <c r="AA8" s="0" t="s">
        <v>127</v>
      </c>
      <c r="AB8" s="0" t="s">
        <v>115</v>
      </c>
      <c r="AC8" s="0" t="s">
        <v>51</v>
      </c>
      <c r="AD8" s="0" t="s">
        <v>52</v>
      </c>
      <c r="AE8" s="0" t="s">
        <v>128</v>
      </c>
      <c r="AF8" s="0" t="s">
        <v>129</v>
      </c>
      <c r="AG8" s="0" t="s">
        <v>130</v>
      </c>
      <c r="AH8" s="0" t="s">
        <v>131</v>
      </c>
      <c r="AI8" s="0" t="s">
        <v>46</v>
      </c>
      <c r="AJ8" s="0" t="s">
        <v>46</v>
      </c>
      <c r="AK8" s="0" t="s">
        <v>46</v>
      </c>
      <c r="AL8" s="0" t="s">
        <v>46</v>
      </c>
    </row>
    <row r="9" customFormat="false" ht="15" hidden="false" customHeight="false" outlineLevel="0" collapsed="false">
      <c r="B9" s="0" t="str">
        <f aca="false">HYPERLINK("https://genome.ucsc.edu/cgi-bin/hgTracks?db=hg19&amp;position=chr15%3A59497622%2D59497622", "chr15:59497622")</f>
        <v>chr15:59497622</v>
      </c>
      <c r="C9" s="0" t="s">
        <v>81</v>
      </c>
      <c r="D9" s="0" t="n">
        <v>59497622</v>
      </c>
      <c r="E9" s="0" t="n">
        <v>59497622</v>
      </c>
      <c r="F9" s="0" t="s">
        <v>69</v>
      </c>
      <c r="G9" s="0" t="s">
        <v>39</v>
      </c>
      <c r="H9" s="0" t="s">
        <v>132</v>
      </c>
      <c r="I9" s="0" t="s">
        <v>133</v>
      </c>
      <c r="J9" s="0" t="s">
        <v>134</v>
      </c>
      <c r="K9" s="0" t="s">
        <v>135</v>
      </c>
      <c r="L9" s="0" t="str">
        <f aca="false">HYPERLINK("https://www.ncbi.nlm.nih.gov/snp/rs140447165", "rs140447165")</f>
        <v>rs140447165</v>
      </c>
      <c r="M9" s="0" t="str">
        <f aca="false">HYPERLINK("https://www.genecards.org/Search/Keyword?queryString=%5Baliases%5D(%20MYO1E%20)&amp;keywords=MYO1E", "MYO1E")</f>
        <v>MYO1E</v>
      </c>
      <c r="N9" s="0" t="s">
        <v>98</v>
      </c>
      <c r="O9" s="0" t="s">
        <v>99</v>
      </c>
      <c r="P9" s="0" t="s">
        <v>136</v>
      </c>
      <c r="Q9" s="0" t="n">
        <v>0.0233</v>
      </c>
      <c r="R9" s="0" t="n">
        <v>0.0102</v>
      </c>
      <c r="S9" s="0" t="n">
        <v>0.0102</v>
      </c>
      <c r="T9" s="0" t="n">
        <v>-1</v>
      </c>
      <c r="U9" s="0" t="n">
        <v>0.0114</v>
      </c>
      <c r="V9" s="0" t="s">
        <v>137</v>
      </c>
      <c r="W9" s="0" t="s">
        <v>46</v>
      </c>
      <c r="X9" s="0" t="s">
        <v>46</v>
      </c>
      <c r="Y9" s="0" t="s">
        <v>46</v>
      </c>
      <c r="Z9" s="0" t="s">
        <v>138</v>
      </c>
      <c r="AA9" s="0" t="s">
        <v>127</v>
      </c>
      <c r="AB9" s="0" t="s">
        <v>50</v>
      </c>
      <c r="AC9" s="0" t="s">
        <v>51</v>
      </c>
      <c r="AD9" s="0" t="s">
        <v>52</v>
      </c>
      <c r="AE9" s="0" t="s">
        <v>139</v>
      </c>
      <c r="AF9" s="0" t="s">
        <v>140</v>
      </c>
      <c r="AG9" s="0" t="s">
        <v>141</v>
      </c>
      <c r="AH9" s="0" t="s">
        <v>46</v>
      </c>
      <c r="AI9" s="0" t="s">
        <v>46</v>
      </c>
      <c r="AJ9" s="0" t="s">
        <v>46</v>
      </c>
      <c r="AK9" s="0" t="s">
        <v>46</v>
      </c>
      <c r="AL9" s="0" t="s">
        <v>46</v>
      </c>
    </row>
    <row r="10" customFormat="false" ht="15" hidden="false" customHeight="false" outlineLevel="0" collapsed="false">
      <c r="B10" s="0" t="str">
        <f aca="false">HYPERLINK("https://genome.ucsc.edu/cgi-bin/hgTracks?db=hg19&amp;position=chr9%3A124089635%2D124089635", "chr9:124089635")</f>
        <v>chr9:124089635</v>
      </c>
      <c r="C10" s="0" t="s">
        <v>142</v>
      </c>
      <c r="D10" s="0" t="n">
        <v>124089635</v>
      </c>
      <c r="E10" s="0" t="n">
        <v>124089635</v>
      </c>
      <c r="F10" s="0" t="s">
        <v>57</v>
      </c>
      <c r="G10" s="0" t="s">
        <v>69</v>
      </c>
      <c r="H10" s="0" t="s">
        <v>143</v>
      </c>
      <c r="I10" s="0" t="s">
        <v>144</v>
      </c>
      <c r="J10" s="0" t="s">
        <v>145</v>
      </c>
      <c r="K10" s="0" t="s">
        <v>146</v>
      </c>
      <c r="L10" s="0" t="str">
        <f aca="false">HYPERLINK("https://www.ncbi.nlm.nih.gov/snp/rs184844415", "rs184844415")</f>
        <v>rs184844415</v>
      </c>
      <c r="M10" s="0" t="str">
        <f aca="false">HYPERLINK("https://www.genecards.org/Search/Keyword?queryString=%5Baliases%5D(%20GSN%20)&amp;keywords=GSN", "GSN")</f>
        <v>GSN</v>
      </c>
      <c r="N10" s="0" t="s">
        <v>98</v>
      </c>
      <c r="O10" s="0" t="s">
        <v>99</v>
      </c>
      <c r="P10" s="0" t="s">
        <v>147</v>
      </c>
      <c r="Q10" s="0" t="n">
        <v>0.0066</v>
      </c>
      <c r="R10" s="0" t="n">
        <v>9.03E-005</v>
      </c>
      <c r="S10" s="0" t="n">
        <v>7.351E-005</v>
      </c>
      <c r="T10" s="0" t="n">
        <v>-1</v>
      </c>
      <c r="U10" s="0" t="n">
        <v>-1</v>
      </c>
      <c r="V10" s="0" t="s">
        <v>148</v>
      </c>
      <c r="W10" s="0" t="s">
        <v>46</v>
      </c>
      <c r="X10" s="0" t="s">
        <v>46</v>
      </c>
      <c r="Y10" s="0" t="s">
        <v>46</v>
      </c>
      <c r="Z10" s="0" t="s">
        <v>102</v>
      </c>
      <c r="AA10" s="0" t="s">
        <v>115</v>
      </c>
      <c r="AB10" s="0" t="s">
        <v>46</v>
      </c>
      <c r="AC10" s="0" t="s">
        <v>51</v>
      </c>
      <c r="AD10" s="0" t="s">
        <v>52</v>
      </c>
      <c r="AE10" s="0" t="s">
        <v>149</v>
      </c>
      <c r="AF10" s="0" t="s">
        <v>150</v>
      </c>
      <c r="AG10" s="0" t="s">
        <v>151</v>
      </c>
      <c r="AH10" s="0" t="s">
        <v>152</v>
      </c>
      <c r="AI10" s="0" t="s">
        <v>46</v>
      </c>
      <c r="AJ10" s="0" t="s">
        <v>46</v>
      </c>
      <c r="AK10" s="0" t="s">
        <v>46</v>
      </c>
      <c r="AL10" s="0" t="s">
        <v>46</v>
      </c>
    </row>
    <row r="11" customFormat="false" ht="15" hidden="false" customHeight="false" outlineLevel="0" collapsed="false">
      <c r="B11" s="0" t="str">
        <f aca="false">HYPERLINK("https://genome.ucsc.edu/cgi-bin/hgTracks?db=hg19&amp;position=chr1%3A237730059%2D237730059", "chr1:237730059")</f>
        <v>chr1:237730059</v>
      </c>
      <c r="C11" s="0" t="s">
        <v>56</v>
      </c>
      <c r="D11" s="0" t="n">
        <v>237730059</v>
      </c>
      <c r="E11" s="0" t="n">
        <v>237730059</v>
      </c>
      <c r="F11" s="0" t="s">
        <v>39</v>
      </c>
      <c r="G11" s="0" t="s">
        <v>40</v>
      </c>
      <c r="H11" s="0" t="s">
        <v>153</v>
      </c>
      <c r="I11" s="0" t="s">
        <v>154</v>
      </c>
      <c r="J11" s="0" t="s">
        <v>155</v>
      </c>
      <c r="K11" s="0" t="s">
        <v>156</v>
      </c>
      <c r="L11" s="0" t="str">
        <f aca="false">HYPERLINK("https://www.ncbi.nlm.nih.gov/snp/rs72549415", "rs72549415")</f>
        <v>rs72549415</v>
      </c>
      <c r="M11" s="0" t="str">
        <f aca="false">HYPERLINK("https://www.genecards.org/Search/Keyword?queryString=%5Baliases%5D(%20RYR2%20)&amp;keywords=RYR2", "RYR2")</f>
        <v>RYR2</v>
      </c>
      <c r="N11" s="0" t="s">
        <v>98</v>
      </c>
      <c r="O11" s="0" t="s">
        <v>99</v>
      </c>
      <c r="P11" s="0" t="s">
        <v>157</v>
      </c>
      <c r="Q11" s="0" t="n">
        <v>0.0143</v>
      </c>
      <c r="R11" s="0" t="n">
        <v>0.0141</v>
      </c>
      <c r="S11" s="0" t="n">
        <v>0.0148</v>
      </c>
      <c r="T11" s="0" t="n">
        <v>-1</v>
      </c>
      <c r="U11" s="0" t="n">
        <v>0.0174</v>
      </c>
      <c r="V11" s="0" t="s">
        <v>158</v>
      </c>
      <c r="W11" s="0" t="s">
        <v>46</v>
      </c>
      <c r="X11" s="0" t="s">
        <v>46</v>
      </c>
      <c r="Y11" s="0" t="s">
        <v>46</v>
      </c>
      <c r="Z11" s="0" t="s">
        <v>159</v>
      </c>
      <c r="AA11" s="0" t="s">
        <v>115</v>
      </c>
      <c r="AB11" s="0" t="s">
        <v>50</v>
      </c>
      <c r="AC11" s="0" t="s">
        <v>51</v>
      </c>
      <c r="AD11" s="0" t="s">
        <v>52</v>
      </c>
      <c r="AE11" s="0" t="s">
        <v>160</v>
      </c>
      <c r="AF11" s="0" t="s">
        <v>161</v>
      </c>
      <c r="AG11" s="0" t="s">
        <v>162</v>
      </c>
      <c r="AH11" s="0" t="s">
        <v>163</v>
      </c>
      <c r="AI11" s="0" t="s">
        <v>46</v>
      </c>
      <c r="AJ11" s="0" t="s">
        <v>46</v>
      </c>
      <c r="AK11" s="0" t="s">
        <v>46</v>
      </c>
      <c r="AL11" s="0" t="s">
        <v>46</v>
      </c>
    </row>
    <row r="12" customFormat="false" ht="15" hidden="false" customHeight="false" outlineLevel="0" collapsed="false">
      <c r="B12" s="0" t="str">
        <f aca="false">HYPERLINK("https://genome.ucsc.edu/cgi-bin/hgTracks?db=hg19&amp;position=chr6%3A29581121%2D29581121", "chr6:29581121")</f>
        <v>chr6:29581121</v>
      </c>
      <c r="C12" s="0" t="s">
        <v>164</v>
      </c>
      <c r="D12" s="0" t="n">
        <v>29581121</v>
      </c>
      <c r="E12" s="0" t="n">
        <v>29581121</v>
      </c>
      <c r="F12" s="0" t="s">
        <v>39</v>
      </c>
      <c r="G12" s="0" t="s">
        <v>40</v>
      </c>
      <c r="H12" s="0" t="s">
        <v>165</v>
      </c>
      <c r="I12" s="0" t="s">
        <v>166</v>
      </c>
      <c r="J12" s="0" t="s">
        <v>167</v>
      </c>
      <c r="K12" s="0" t="s">
        <v>168</v>
      </c>
      <c r="L12" s="0" t="str">
        <f aca="false">HYPERLINK("https://www.ncbi.nlm.nih.gov/snp/rs1805057", "rs1805057")</f>
        <v>rs1805057</v>
      </c>
      <c r="M12" s="0" t="str">
        <f aca="false">HYPERLINK("https://www.genecards.org/Search/Keyword?queryString=%5Baliases%5D(%20GABBR1%20)&amp;keywords=GABBR1", "GABBR1")</f>
        <v>GABBR1</v>
      </c>
      <c r="N12" s="0" t="s">
        <v>98</v>
      </c>
      <c r="O12" s="0" t="s">
        <v>99</v>
      </c>
      <c r="P12" s="0" t="s">
        <v>169</v>
      </c>
      <c r="Q12" s="0" t="n">
        <v>0.008772</v>
      </c>
      <c r="R12" s="0" t="n">
        <v>0.0013</v>
      </c>
      <c r="S12" s="0" t="n">
        <v>0.0036</v>
      </c>
      <c r="T12" s="0" t="n">
        <v>-1</v>
      </c>
      <c r="U12" s="0" t="n">
        <v>0.0081</v>
      </c>
      <c r="V12" s="0" t="s">
        <v>170</v>
      </c>
      <c r="W12" s="0" t="s">
        <v>46</v>
      </c>
      <c r="X12" s="0" t="s">
        <v>46</v>
      </c>
      <c r="Y12" s="0" t="s">
        <v>46</v>
      </c>
      <c r="Z12" s="0" t="s">
        <v>138</v>
      </c>
      <c r="AA12" s="0" t="s">
        <v>171</v>
      </c>
      <c r="AB12" s="0" t="s">
        <v>46</v>
      </c>
      <c r="AC12" s="0" t="s">
        <v>51</v>
      </c>
      <c r="AD12" s="0" t="s">
        <v>52</v>
      </c>
      <c r="AE12" s="0" t="s">
        <v>172</v>
      </c>
      <c r="AF12" s="0" t="s">
        <v>173</v>
      </c>
      <c r="AG12" s="0" t="s">
        <v>174</v>
      </c>
      <c r="AH12" s="0" t="s">
        <v>46</v>
      </c>
      <c r="AI12" s="0" t="s">
        <v>46</v>
      </c>
      <c r="AJ12" s="0" t="s">
        <v>46</v>
      </c>
      <c r="AK12" s="0" t="s">
        <v>175</v>
      </c>
      <c r="AL12" s="0" t="s">
        <v>46</v>
      </c>
    </row>
    <row r="13" s="2" customFormat="true" ht="15" hidden="false" customHeight="false" outlineLevel="0" collapsed="false">
      <c r="A13" s="0"/>
      <c r="B13" s="0" t="str">
        <f aca="false">HYPERLINK("https://genome.ucsc.edu/cgi-bin/hgTracks?db=hg19&amp;position=chr13%3A32913077%2D32913077", "chr13:32913077")</f>
        <v>chr13:32913077</v>
      </c>
      <c r="C13" s="0" t="s">
        <v>176</v>
      </c>
      <c r="D13" s="0" t="n">
        <v>32913077</v>
      </c>
      <c r="E13" s="0" t="n">
        <v>32913077</v>
      </c>
      <c r="F13" s="0" t="s">
        <v>69</v>
      </c>
      <c r="G13" s="0" t="s">
        <v>57</v>
      </c>
      <c r="H13" s="0" t="s">
        <v>177</v>
      </c>
      <c r="I13" s="0" t="s">
        <v>178</v>
      </c>
      <c r="J13" s="0" t="s">
        <v>179</v>
      </c>
      <c r="K13" s="0" t="s">
        <v>180</v>
      </c>
      <c r="L13" s="0" t="str">
        <f aca="false">HYPERLINK("https://www.ncbi.nlm.nih.gov/snp/rs28897728", "rs28897728")</f>
        <v>rs28897728</v>
      </c>
      <c r="M13" s="0" t="str">
        <f aca="false">HYPERLINK("https://www.genecards.org/Search/Keyword?queryString=%5Baliases%5D(%20BRCA2%20)&amp;keywords=BRCA2", "BRCA2")</f>
        <v>BRCA2</v>
      </c>
      <c r="N13" s="0" t="s">
        <v>98</v>
      </c>
      <c r="O13" s="0" t="s">
        <v>99</v>
      </c>
      <c r="P13" s="0" t="s">
        <v>181</v>
      </c>
      <c r="Q13" s="0" t="n">
        <v>0.015152</v>
      </c>
      <c r="R13" s="0" t="n">
        <v>0.0006</v>
      </c>
      <c r="S13" s="0" t="n">
        <v>0.0007</v>
      </c>
      <c r="T13" s="0" t="n">
        <v>-1</v>
      </c>
      <c r="U13" s="0" t="n">
        <v>0.0007</v>
      </c>
      <c r="V13" s="0" t="s">
        <v>182</v>
      </c>
      <c r="W13" s="0" t="s">
        <v>46</v>
      </c>
      <c r="X13" s="0" t="s">
        <v>46</v>
      </c>
      <c r="Y13" s="0" t="s">
        <v>46</v>
      </c>
      <c r="Z13" s="0" t="s">
        <v>183</v>
      </c>
      <c r="AA13" s="0" t="s">
        <v>127</v>
      </c>
      <c r="AB13" s="0" t="s">
        <v>115</v>
      </c>
      <c r="AC13" s="0" t="s">
        <v>51</v>
      </c>
      <c r="AD13" s="0" t="s">
        <v>52</v>
      </c>
      <c r="AE13" s="0" t="s">
        <v>184</v>
      </c>
      <c r="AF13" s="0" t="s">
        <v>185</v>
      </c>
      <c r="AG13" s="0" t="s">
        <v>186</v>
      </c>
      <c r="AH13" s="0" t="s">
        <v>187</v>
      </c>
      <c r="AI13" s="0" t="s">
        <v>46</v>
      </c>
      <c r="AJ13" s="0" t="s">
        <v>46</v>
      </c>
      <c r="AK13" s="0" t="s">
        <v>46</v>
      </c>
      <c r="AL13" s="0" t="s">
        <v>46</v>
      </c>
    </row>
    <row r="14" s="2" customFormat="true" ht="15" hidden="false" customHeight="false" outlineLevel="0" collapsed="false">
      <c r="A14" s="0"/>
      <c r="B14" s="0" t="str">
        <f aca="false">HYPERLINK("https://genome.ucsc.edu/cgi-bin/hgTracks?db=hg19&amp;position=chr20%3A25060096%2D25060096", "chr20:25060096")</f>
        <v>chr20:25060096</v>
      </c>
      <c r="C14" s="0" t="s">
        <v>188</v>
      </c>
      <c r="D14" s="0" t="n">
        <v>25060096</v>
      </c>
      <c r="E14" s="0" t="n">
        <v>25060096</v>
      </c>
      <c r="F14" s="0" t="s">
        <v>39</v>
      </c>
      <c r="G14" s="0" t="s">
        <v>40</v>
      </c>
      <c r="H14" s="0" t="s">
        <v>189</v>
      </c>
      <c r="I14" s="0" t="s">
        <v>190</v>
      </c>
      <c r="J14" s="0" t="s">
        <v>191</v>
      </c>
      <c r="K14" s="0" t="s">
        <v>192</v>
      </c>
      <c r="L14" s="0" t="str">
        <f aca="false">HYPERLINK("https://www.ncbi.nlm.nih.gov/snp/rs74315433", "rs74315433")</f>
        <v>rs74315433</v>
      </c>
      <c r="M14" s="0" t="str">
        <f aca="false">HYPERLINK("https://www.genecards.org/Search/Keyword?queryString=%5Baliases%5D(%20VSX1%20)&amp;keywords=VSX1", "VSX1")</f>
        <v>VSX1</v>
      </c>
      <c r="N14" s="0" t="s">
        <v>98</v>
      </c>
      <c r="O14" s="0" t="s">
        <v>99</v>
      </c>
      <c r="P14" s="0" t="s">
        <v>193</v>
      </c>
      <c r="Q14" s="0" t="n">
        <v>0.0055</v>
      </c>
      <c r="R14" s="0" t="n">
        <v>0.0064</v>
      </c>
      <c r="S14" s="0" t="n">
        <v>0.0051</v>
      </c>
      <c r="T14" s="0" t="n">
        <v>-1</v>
      </c>
      <c r="U14" s="0" t="n">
        <v>0.0085</v>
      </c>
      <c r="V14" s="0" t="s">
        <v>194</v>
      </c>
      <c r="W14" s="0" t="s">
        <v>46</v>
      </c>
      <c r="X14" s="0" t="s">
        <v>46</v>
      </c>
      <c r="Y14" s="0" t="s">
        <v>46</v>
      </c>
      <c r="Z14" s="0" t="s">
        <v>49</v>
      </c>
      <c r="AA14" s="0" t="s">
        <v>171</v>
      </c>
      <c r="AB14" s="0" t="s">
        <v>116</v>
      </c>
      <c r="AC14" s="0" t="s">
        <v>51</v>
      </c>
      <c r="AD14" s="0" t="s">
        <v>52</v>
      </c>
      <c r="AE14" s="0" t="s">
        <v>195</v>
      </c>
      <c r="AF14" s="0" t="s">
        <v>196</v>
      </c>
      <c r="AG14" s="0" t="s">
        <v>197</v>
      </c>
      <c r="AH14" s="0" t="s">
        <v>198</v>
      </c>
      <c r="AI14" s="0" t="s">
        <v>46</v>
      </c>
      <c r="AJ14" s="0" t="s">
        <v>46</v>
      </c>
      <c r="AK14" s="0" t="s">
        <v>46</v>
      </c>
      <c r="AL14" s="0" t="s">
        <v>46</v>
      </c>
    </row>
    <row r="15" s="2" customFormat="true" ht="15" hidden="false" customHeight="false" outlineLevel="0" collapsed="false">
      <c r="A15" s="0"/>
      <c r="B15" s="0" t="str">
        <f aca="false">HYPERLINK("https://genome.ucsc.edu/cgi-bin/hgTracks?db=hg19&amp;position=chr10%3A89473069%2D89473069", "chr10:89473069")</f>
        <v>chr10:89473069</v>
      </c>
      <c r="C15" s="0" t="s">
        <v>199</v>
      </c>
      <c r="D15" s="0" t="n">
        <v>89473069</v>
      </c>
      <c r="E15" s="0" t="n">
        <v>89473069</v>
      </c>
      <c r="F15" s="0" t="s">
        <v>200</v>
      </c>
      <c r="G15" s="0" t="s">
        <v>201</v>
      </c>
      <c r="H15" s="0" t="s">
        <v>202</v>
      </c>
      <c r="I15" s="0" t="s">
        <v>95</v>
      </c>
      <c r="J15" s="0" t="s">
        <v>203</v>
      </c>
      <c r="K15" s="0" t="s">
        <v>204</v>
      </c>
      <c r="L15" s="0" t="str">
        <f aca="false">HYPERLINK("https://www.ncbi.nlm.nih.gov/snp/rs367885911", "rs367885911")</f>
        <v>rs367885911</v>
      </c>
      <c r="M15" s="0" t="str">
        <f aca="false">HYPERLINK("https://www.genecards.org/Search/Keyword?queryString=%5Baliases%5D(%20PAPSS2%20)&amp;keywords=PAPSS2", "PAPSS2")</f>
        <v>PAPSS2</v>
      </c>
      <c r="N15" s="0" t="s">
        <v>205</v>
      </c>
      <c r="O15" s="0" t="s">
        <v>46</v>
      </c>
      <c r="P15" s="0" t="s">
        <v>206</v>
      </c>
      <c r="Q15" s="0" t="n">
        <v>0.0055885</v>
      </c>
      <c r="R15" s="0" t="n">
        <v>-1</v>
      </c>
      <c r="S15" s="0" t="n">
        <v>-1</v>
      </c>
      <c r="T15" s="0" t="n">
        <v>-1</v>
      </c>
      <c r="U15" s="0" t="n">
        <v>-1</v>
      </c>
      <c r="V15" s="0" t="s">
        <v>46</v>
      </c>
      <c r="W15" s="0" t="s">
        <v>46</v>
      </c>
      <c r="X15" s="0" t="s">
        <v>46</v>
      </c>
      <c r="Y15" s="0" t="s">
        <v>46</v>
      </c>
      <c r="Z15" s="0" t="s">
        <v>46</v>
      </c>
      <c r="AA15" s="0" t="s">
        <v>46</v>
      </c>
      <c r="AB15" s="0" t="s">
        <v>46</v>
      </c>
      <c r="AC15" s="0" t="s">
        <v>207</v>
      </c>
      <c r="AD15" s="0" t="s">
        <v>52</v>
      </c>
      <c r="AE15" s="0" t="s">
        <v>208</v>
      </c>
      <c r="AF15" s="0" t="s">
        <v>209</v>
      </c>
      <c r="AG15" s="0" t="s">
        <v>210</v>
      </c>
      <c r="AH15" s="0" t="s">
        <v>46</v>
      </c>
      <c r="AI15" s="0" t="s">
        <v>46</v>
      </c>
      <c r="AJ15" s="0" t="s">
        <v>46</v>
      </c>
      <c r="AK15" s="0" t="s">
        <v>46</v>
      </c>
      <c r="AL15" s="0" t="s">
        <v>46</v>
      </c>
    </row>
    <row r="16" s="3" customFormat="true" ht="15" hidden="false" customHeight="false" outlineLevel="0" collapsed="false">
      <c r="A16" s="0"/>
      <c r="B16" s="0" t="str">
        <f aca="false">HYPERLINK("https://genome.ucsc.edu/cgi-bin/hgTracks?db=hg19&amp;position=chr1%3A11847518%2D11847518", "chr1:11847518")</f>
        <v>chr1:11847518</v>
      </c>
      <c r="C16" s="0" t="s">
        <v>56</v>
      </c>
      <c r="D16" s="0" t="n">
        <v>11847518</v>
      </c>
      <c r="E16" s="0" t="n">
        <v>11847518</v>
      </c>
      <c r="F16" s="0" t="s">
        <v>69</v>
      </c>
      <c r="G16" s="0" t="s">
        <v>57</v>
      </c>
      <c r="H16" s="0" t="s">
        <v>211</v>
      </c>
      <c r="I16" s="0" t="s">
        <v>212</v>
      </c>
      <c r="J16" s="0" t="s">
        <v>213</v>
      </c>
      <c r="K16" s="0" t="s">
        <v>46</v>
      </c>
      <c r="L16" s="0" t="str">
        <f aca="false">HYPERLINK("https://www.ncbi.nlm.nih.gov/snp/rs566155977", "rs566155977")</f>
        <v>rs566155977</v>
      </c>
      <c r="M16" s="0" t="str">
        <f aca="false">HYPERLINK("https://www.genecards.org/Search/Keyword?queryString=%5Baliases%5D(%20C1orf167%20)&amp;keywords=C1orf167", "C1orf167")</f>
        <v>C1orf167</v>
      </c>
      <c r="N16" s="0" t="s">
        <v>98</v>
      </c>
      <c r="O16" s="0" t="s">
        <v>99</v>
      </c>
      <c r="P16" s="0" t="s">
        <v>214</v>
      </c>
      <c r="Q16" s="0" t="n">
        <v>0.0005</v>
      </c>
      <c r="R16" s="0" t="n">
        <v>0.0004</v>
      </c>
      <c r="S16" s="0" t="n">
        <v>0.0004</v>
      </c>
      <c r="T16" s="0" t="n">
        <v>-1</v>
      </c>
      <c r="U16" s="0" t="n">
        <v>0.0004</v>
      </c>
      <c r="V16" s="0" t="s">
        <v>215</v>
      </c>
      <c r="W16" s="0" t="s">
        <v>46</v>
      </c>
      <c r="X16" s="0" t="s">
        <v>46</v>
      </c>
      <c r="Y16" s="0" t="s">
        <v>46</v>
      </c>
      <c r="Z16" s="0" t="s">
        <v>138</v>
      </c>
      <c r="AA16" s="0" t="s">
        <v>171</v>
      </c>
      <c r="AB16" s="0" t="s">
        <v>216</v>
      </c>
      <c r="AC16" s="0" t="s">
        <v>51</v>
      </c>
      <c r="AD16" s="0" t="s">
        <v>52</v>
      </c>
      <c r="AE16" s="0" t="s">
        <v>217</v>
      </c>
      <c r="AF16" s="0" t="s">
        <v>218</v>
      </c>
      <c r="AG16" s="0" t="s">
        <v>46</v>
      </c>
      <c r="AH16" s="0" t="s">
        <v>46</v>
      </c>
      <c r="AI16" s="0" t="s">
        <v>46</v>
      </c>
      <c r="AJ16" s="0" t="s">
        <v>46</v>
      </c>
      <c r="AK16" s="0" t="s">
        <v>46</v>
      </c>
      <c r="AL16" s="0" t="s">
        <v>46</v>
      </c>
    </row>
    <row r="17" customFormat="false" ht="15" hidden="false" customHeight="false" outlineLevel="0" collapsed="false">
      <c r="B17" s="0" t="str">
        <f aca="false">HYPERLINK("https://genome.ucsc.edu/cgi-bin/hgTracks?db=hg19&amp;position=chr1%3A22168609%2D22168609", "chr1:22168609")</f>
        <v>chr1:22168609</v>
      </c>
      <c r="C17" s="0" t="s">
        <v>56</v>
      </c>
      <c r="D17" s="0" t="n">
        <v>22168609</v>
      </c>
      <c r="E17" s="0" t="n">
        <v>22168609</v>
      </c>
      <c r="F17" s="0" t="s">
        <v>39</v>
      </c>
      <c r="G17" s="0" t="s">
        <v>40</v>
      </c>
      <c r="H17" s="0" t="s">
        <v>219</v>
      </c>
      <c r="I17" s="0" t="s">
        <v>220</v>
      </c>
      <c r="J17" s="0" t="s">
        <v>221</v>
      </c>
      <c r="K17" s="0" t="s">
        <v>46</v>
      </c>
      <c r="L17" s="0" t="str">
        <f aca="false">HYPERLINK("https://www.ncbi.nlm.nih.gov/snp/rs201759348", "rs201759348")</f>
        <v>rs201759348</v>
      </c>
      <c r="M17" s="0" t="str">
        <f aca="false">HYPERLINK("https://www.genecards.org/Search/Keyword?queryString=%5Baliases%5D(%20HSPG2%20)&amp;keywords=HSPG2", "HSPG2")</f>
        <v>HSPG2</v>
      </c>
      <c r="N17" s="0" t="s">
        <v>98</v>
      </c>
      <c r="O17" s="0" t="s">
        <v>99</v>
      </c>
      <c r="P17" s="0" t="s">
        <v>222</v>
      </c>
      <c r="Q17" s="0" t="n">
        <v>0.0004</v>
      </c>
      <c r="R17" s="0" t="n">
        <v>0.0005</v>
      </c>
      <c r="S17" s="0" t="n">
        <v>0.0004</v>
      </c>
      <c r="T17" s="0" t="n">
        <v>-1</v>
      </c>
      <c r="U17" s="0" t="n">
        <v>0.0005</v>
      </c>
      <c r="V17" s="0" t="s">
        <v>215</v>
      </c>
      <c r="W17" s="0" t="s">
        <v>46</v>
      </c>
      <c r="X17" s="0" t="s">
        <v>46</v>
      </c>
      <c r="Y17" s="0" t="s">
        <v>46</v>
      </c>
      <c r="Z17" s="0" t="s">
        <v>138</v>
      </c>
      <c r="AA17" s="0" t="s">
        <v>171</v>
      </c>
      <c r="AB17" s="0" t="s">
        <v>216</v>
      </c>
      <c r="AC17" s="0" t="s">
        <v>51</v>
      </c>
      <c r="AD17" s="0" t="s">
        <v>52</v>
      </c>
      <c r="AE17" s="0" t="s">
        <v>223</v>
      </c>
      <c r="AF17" s="0" t="s">
        <v>224</v>
      </c>
      <c r="AG17" s="0" t="s">
        <v>225</v>
      </c>
      <c r="AH17" s="0" t="s">
        <v>226</v>
      </c>
      <c r="AI17" s="0" t="s">
        <v>46</v>
      </c>
      <c r="AJ17" s="0" t="s">
        <v>46</v>
      </c>
      <c r="AK17" s="0" t="s">
        <v>46</v>
      </c>
      <c r="AL17" s="0" t="s">
        <v>46</v>
      </c>
    </row>
    <row r="18" customFormat="false" ht="15" hidden="false" customHeight="false" outlineLevel="0" collapsed="false">
      <c r="B18" s="0" t="str">
        <f aca="false">HYPERLINK("https://genome.ucsc.edu/cgi-bin/hgTracks?db=hg19&amp;position=chr11%3A792634%2D792634", "chr11:792634")</f>
        <v>chr11:792634</v>
      </c>
      <c r="C18" s="0" t="s">
        <v>38</v>
      </c>
      <c r="D18" s="0" t="n">
        <v>792634</v>
      </c>
      <c r="E18" s="0" t="n">
        <v>792634</v>
      </c>
      <c r="F18" s="0" t="s">
        <v>69</v>
      </c>
      <c r="G18" s="0" t="s">
        <v>57</v>
      </c>
      <c r="H18" s="0" t="s">
        <v>227</v>
      </c>
      <c r="I18" s="0" t="s">
        <v>71</v>
      </c>
      <c r="J18" s="0" t="s">
        <v>228</v>
      </c>
      <c r="K18" s="0" t="s">
        <v>46</v>
      </c>
      <c r="L18" s="0" t="str">
        <f aca="false">HYPERLINK("https://www.ncbi.nlm.nih.gov/snp/rs533726078", "rs533726078")</f>
        <v>rs533726078</v>
      </c>
      <c r="M18" s="0" t="str">
        <f aca="false">HYPERLINK("https://www.genecards.org/Search/Keyword?queryString=%5Baliases%5D(%20SLC25A22%20)&amp;keywords=SLC25A22", "SLC25A22")</f>
        <v>SLC25A22</v>
      </c>
      <c r="N18" s="0" t="s">
        <v>98</v>
      </c>
      <c r="O18" s="0" t="s">
        <v>99</v>
      </c>
      <c r="P18" s="0" t="s">
        <v>229</v>
      </c>
      <c r="Q18" s="0" t="n">
        <v>0.0008</v>
      </c>
      <c r="R18" s="0" t="n">
        <v>-1</v>
      </c>
      <c r="S18" s="0" t="n">
        <v>-1</v>
      </c>
      <c r="T18" s="0" t="n">
        <v>-1</v>
      </c>
      <c r="U18" s="0" t="n">
        <v>-1</v>
      </c>
      <c r="V18" s="0" t="s">
        <v>230</v>
      </c>
      <c r="W18" s="0" t="s">
        <v>46</v>
      </c>
      <c r="X18" s="0" t="s">
        <v>46</v>
      </c>
      <c r="Y18" s="0" t="s">
        <v>46</v>
      </c>
      <c r="Z18" s="0" t="s">
        <v>231</v>
      </c>
      <c r="AA18" s="0" t="s">
        <v>171</v>
      </c>
      <c r="AB18" s="0" t="s">
        <v>216</v>
      </c>
      <c r="AC18" s="0" t="s">
        <v>51</v>
      </c>
      <c r="AD18" s="0" t="s">
        <v>52</v>
      </c>
      <c r="AE18" s="0" t="s">
        <v>232</v>
      </c>
      <c r="AF18" s="0" t="s">
        <v>233</v>
      </c>
      <c r="AG18" s="0" t="s">
        <v>234</v>
      </c>
      <c r="AH18" s="0" t="s">
        <v>46</v>
      </c>
      <c r="AI18" s="0" t="s">
        <v>46</v>
      </c>
      <c r="AJ18" s="0" t="s">
        <v>46</v>
      </c>
      <c r="AK18" s="0" t="s">
        <v>46</v>
      </c>
      <c r="AL18" s="0" t="s">
        <v>46</v>
      </c>
    </row>
    <row r="19" customFormat="false" ht="15" hidden="false" customHeight="false" outlineLevel="0" collapsed="false">
      <c r="B19" s="0" t="str">
        <f aca="false">HYPERLINK("https://genome.ucsc.edu/cgi-bin/hgTracks?db=hg19&amp;position=chr12%3A133244199%2D133244199", "chr12:133244199")</f>
        <v>chr12:133244199</v>
      </c>
      <c r="C19" s="0" t="s">
        <v>235</v>
      </c>
      <c r="D19" s="0" t="n">
        <v>133244199</v>
      </c>
      <c r="E19" s="0" t="n">
        <v>133244199</v>
      </c>
      <c r="F19" s="0" t="s">
        <v>40</v>
      </c>
      <c r="G19" s="0" t="s">
        <v>39</v>
      </c>
      <c r="H19" s="0" t="s">
        <v>236</v>
      </c>
      <c r="I19" s="0" t="s">
        <v>237</v>
      </c>
      <c r="J19" s="0" t="s">
        <v>238</v>
      </c>
      <c r="K19" s="0" t="s">
        <v>46</v>
      </c>
      <c r="L19" s="0" t="str">
        <f aca="false">HYPERLINK("https://www.ncbi.nlm.nih.gov/snp/rs779102091", "rs779102091")</f>
        <v>rs779102091</v>
      </c>
      <c r="M19" s="0" t="str">
        <f aca="false">HYPERLINK("https://www.genecards.org/Search/Keyword?queryString=%5Baliases%5D(%20POLE%20)&amp;keywords=POLE", "POLE")</f>
        <v>POLE</v>
      </c>
      <c r="N19" s="0" t="s">
        <v>98</v>
      </c>
      <c r="O19" s="0" t="s">
        <v>99</v>
      </c>
      <c r="P19" s="0" t="s">
        <v>239</v>
      </c>
      <c r="Q19" s="0" t="n">
        <v>4.53E-005</v>
      </c>
      <c r="R19" s="0" t="n">
        <v>-1</v>
      </c>
      <c r="S19" s="0" t="n">
        <v>-1</v>
      </c>
      <c r="T19" s="0" t="n">
        <v>-1</v>
      </c>
      <c r="U19" s="0" t="n">
        <v>-1</v>
      </c>
      <c r="V19" s="0" t="s">
        <v>194</v>
      </c>
      <c r="W19" s="0" t="s">
        <v>46</v>
      </c>
      <c r="X19" s="0" t="s">
        <v>46</v>
      </c>
      <c r="Y19" s="0" t="s">
        <v>46</v>
      </c>
      <c r="Z19" s="0" t="s">
        <v>240</v>
      </c>
      <c r="AA19" s="0" t="s">
        <v>171</v>
      </c>
      <c r="AB19" s="0" t="s">
        <v>216</v>
      </c>
      <c r="AC19" s="0" t="s">
        <v>51</v>
      </c>
      <c r="AD19" s="0" t="s">
        <v>52</v>
      </c>
      <c r="AE19" s="0" t="s">
        <v>241</v>
      </c>
      <c r="AF19" s="0" t="s">
        <v>242</v>
      </c>
      <c r="AG19" s="0" t="s">
        <v>243</v>
      </c>
      <c r="AH19" s="0" t="s">
        <v>244</v>
      </c>
      <c r="AI19" s="0" t="s">
        <v>46</v>
      </c>
      <c r="AJ19" s="0" t="s">
        <v>46</v>
      </c>
      <c r="AK19" s="0" t="s">
        <v>46</v>
      </c>
      <c r="AL19" s="0" t="s">
        <v>46</v>
      </c>
    </row>
    <row r="20" customFormat="false" ht="15" hidden="false" customHeight="false" outlineLevel="0" collapsed="false">
      <c r="B20" s="0" t="str">
        <f aca="false">HYPERLINK("https://genome.ucsc.edu/cgi-bin/hgTracks?db=hg19&amp;position=chr4%3A79458320%2D79458320", "chr4:79458320")</f>
        <v>chr4:79458320</v>
      </c>
      <c r="C20" s="0" t="s">
        <v>245</v>
      </c>
      <c r="D20" s="0" t="n">
        <v>79458320</v>
      </c>
      <c r="E20" s="0" t="n">
        <v>79458320</v>
      </c>
      <c r="F20" s="0" t="s">
        <v>39</v>
      </c>
      <c r="G20" s="0" t="s">
        <v>40</v>
      </c>
      <c r="H20" s="0" t="s">
        <v>246</v>
      </c>
      <c r="I20" s="0" t="s">
        <v>178</v>
      </c>
      <c r="J20" s="0" t="s">
        <v>247</v>
      </c>
      <c r="K20" s="0" t="s">
        <v>46</v>
      </c>
      <c r="L20" s="0" t="str">
        <f aca="false">HYPERLINK("https://www.ncbi.nlm.nih.gov/snp/rs199510509", "rs199510509")</f>
        <v>rs199510509</v>
      </c>
      <c r="M20" s="0" t="str">
        <f aca="false">HYPERLINK("https://www.genecards.org/Search/Keyword?queryString=%5Baliases%5D(%20FRAS1%20)&amp;keywords=FRAS1", "FRAS1")</f>
        <v>FRAS1</v>
      </c>
      <c r="N20" s="0" t="s">
        <v>98</v>
      </c>
      <c r="O20" s="0" t="s">
        <v>99</v>
      </c>
      <c r="P20" s="0" t="s">
        <v>248</v>
      </c>
      <c r="Q20" s="0" t="n">
        <v>0.004105</v>
      </c>
      <c r="R20" s="0" t="n">
        <v>0.0029</v>
      </c>
      <c r="S20" s="0" t="n">
        <v>0.0036</v>
      </c>
      <c r="T20" s="0" t="n">
        <v>-1</v>
      </c>
      <c r="U20" s="0" t="n">
        <v>0.0041</v>
      </c>
      <c r="V20" s="0" t="s">
        <v>249</v>
      </c>
      <c r="W20" s="0" t="s">
        <v>46</v>
      </c>
      <c r="X20" s="0" t="s">
        <v>46</v>
      </c>
      <c r="Y20" s="0" t="s">
        <v>46</v>
      </c>
      <c r="Z20" s="0" t="s">
        <v>183</v>
      </c>
      <c r="AA20" s="0" t="s">
        <v>171</v>
      </c>
      <c r="AB20" s="0" t="s">
        <v>216</v>
      </c>
      <c r="AC20" s="0" t="s">
        <v>51</v>
      </c>
      <c r="AD20" s="0" t="s">
        <v>52</v>
      </c>
      <c r="AE20" s="0" t="s">
        <v>250</v>
      </c>
      <c r="AF20" s="0" t="s">
        <v>251</v>
      </c>
      <c r="AG20" s="0" t="s">
        <v>46</v>
      </c>
      <c r="AH20" s="0" t="s">
        <v>252</v>
      </c>
      <c r="AI20" s="0" t="s">
        <v>46</v>
      </c>
      <c r="AJ20" s="0" t="s">
        <v>46</v>
      </c>
      <c r="AK20" s="0" t="s">
        <v>46</v>
      </c>
      <c r="AL20" s="0" t="s">
        <v>46</v>
      </c>
    </row>
    <row r="21" customFormat="false" ht="15" hidden="false" customHeight="false" outlineLevel="0" collapsed="false">
      <c r="B21" s="0" t="str">
        <f aca="false">HYPERLINK("https://genome.ucsc.edu/cgi-bin/hgTracks?db=hg19&amp;position=chr7%3A91737810%2D91737810", "chr7:91737810")</f>
        <v>chr7:91737810</v>
      </c>
      <c r="C21" s="0" t="s">
        <v>253</v>
      </c>
      <c r="D21" s="0" t="n">
        <v>91737810</v>
      </c>
      <c r="E21" s="0" t="n">
        <v>91737810</v>
      </c>
      <c r="F21" s="0" t="s">
        <v>57</v>
      </c>
      <c r="G21" s="0" t="s">
        <v>69</v>
      </c>
      <c r="H21" s="0" t="s">
        <v>254</v>
      </c>
      <c r="I21" s="0" t="s">
        <v>178</v>
      </c>
      <c r="J21" s="0" t="s">
        <v>255</v>
      </c>
      <c r="K21" s="0" t="s">
        <v>46</v>
      </c>
      <c r="L21" s="0" t="str">
        <f aca="false">HYPERLINK("https://www.ncbi.nlm.nih.gov/snp/rs751615449", "rs751615449")</f>
        <v>rs751615449</v>
      </c>
      <c r="M21" s="0" t="str">
        <f aca="false">HYPERLINK("https://www.genecards.org/Search/Keyword?queryString=%5Baliases%5D(%20AKAP9%20)&amp;keywords=AKAP9", "AKAP9")</f>
        <v>AKAP9</v>
      </c>
      <c r="N21" s="0" t="s">
        <v>98</v>
      </c>
      <c r="O21" s="0" t="s">
        <v>99</v>
      </c>
      <c r="P21" s="0" t="s">
        <v>256</v>
      </c>
      <c r="Q21" s="0" t="n">
        <v>2.59E-005</v>
      </c>
      <c r="R21" s="0" t="n">
        <v>-1</v>
      </c>
      <c r="S21" s="0" t="n">
        <v>-1</v>
      </c>
      <c r="T21" s="0" t="n">
        <v>-1</v>
      </c>
      <c r="U21" s="0" t="n">
        <v>-1</v>
      </c>
      <c r="V21" s="0" t="s">
        <v>257</v>
      </c>
      <c r="W21" s="0" t="s">
        <v>46</v>
      </c>
      <c r="X21" s="0" t="s">
        <v>46</v>
      </c>
      <c r="Y21" s="0" t="s">
        <v>46</v>
      </c>
      <c r="Z21" s="0" t="s">
        <v>231</v>
      </c>
      <c r="AA21" s="0" t="s">
        <v>171</v>
      </c>
      <c r="AB21" s="0" t="s">
        <v>216</v>
      </c>
      <c r="AC21" s="0" t="s">
        <v>51</v>
      </c>
      <c r="AD21" s="0" t="s">
        <v>52</v>
      </c>
      <c r="AE21" s="0" t="s">
        <v>258</v>
      </c>
      <c r="AF21" s="0" t="s">
        <v>259</v>
      </c>
      <c r="AG21" s="0" t="s">
        <v>260</v>
      </c>
      <c r="AH21" s="0" t="s">
        <v>261</v>
      </c>
      <c r="AI21" s="0" t="s">
        <v>46</v>
      </c>
      <c r="AJ21" s="0" t="s">
        <v>46</v>
      </c>
      <c r="AK21" s="0" t="s">
        <v>46</v>
      </c>
      <c r="AL21" s="0" t="s">
        <v>46</v>
      </c>
    </row>
    <row r="22" customFormat="false" ht="15" hidden="false" customHeight="false" outlineLevel="0" collapsed="false">
      <c r="B22" s="0" t="str">
        <f aca="false">HYPERLINK("https://genome.ucsc.edu/cgi-bin/hgTracks?db=hg19&amp;position=chr1%3A228495983%2D228495983", "chr1:228495983")</f>
        <v>chr1:228495983</v>
      </c>
      <c r="C22" s="0" t="s">
        <v>56</v>
      </c>
      <c r="D22" s="0" t="n">
        <v>228495983</v>
      </c>
      <c r="E22" s="0" t="n">
        <v>228495983</v>
      </c>
      <c r="F22" s="0" t="s">
        <v>69</v>
      </c>
      <c r="G22" s="0" t="s">
        <v>57</v>
      </c>
      <c r="H22" s="0" t="s">
        <v>262</v>
      </c>
      <c r="I22" s="0" t="s">
        <v>263</v>
      </c>
      <c r="J22" s="0" t="s">
        <v>264</v>
      </c>
      <c r="K22" s="0" t="s">
        <v>46</v>
      </c>
      <c r="L22" s="0" t="str">
        <f aca="false">HYPERLINK("https://www.ncbi.nlm.nih.gov/snp/rs56306215", "rs56306215")</f>
        <v>rs56306215</v>
      </c>
      <c r="M22" s="0" t="str">
        <f aca="false">HYPERLINK("https://www.genecards.org/Search/Keyword?queryString=%5Baliases%5D(%20OBSCN%20)&amp;keywords=OBSCN", "OBSCN")</f>
        <v>OBSCN</v>
      </c>
      <c r="N22" s="0" t="s">
        <v>98</v>
      </c>
      <c r="O22" s="0" t="s">
        <v>99</v>
      </c>
      <c r="P22" s="0" t="s">
        <v>265</v>
      </c>
      <c r="Q22" s="0" t="n">
        <v>0.003788</v>
      </c>
      <c r="R22" s="0" t="n">
        <v>0.0016</v>
      </c>
      <c r="S22" s="0" t="n">
        <v>0.0019</v>
      </c>
      <c r="T22" s="0" t="n">
        <v>-1</v>
      </c>
      <c r="U22" s="0" t="n">
        <v>0.0015</v>
      </c>
      <c r="V22" s="0" t="s">
        <v>215</v>
      </c>
      <c r="W22" s="0" t="s">
        <v>46</v>
      </c>
      <c r="X22" s="0" t="s">
        <v>46</v>
      </c>
      <c r="Y22" s="0" t="s">
        <v>46</v>
      </c>
      <c r="Z22" s="0" t="s">
        <v>138</v>
      </c>
      <c r="AA22" s="0" t="s">
        <v>171</v>
      </c>
      <c r="AB22" s="0" t="s">
        <v>266</v>
      </c>
      <c r="AC22" s="0" t="s">
        <v>51</v>
      </c>
      <c r="AD22" s="0" t="s">
        <v>52</v>
      </c>
      <c r="AE22" s="0" t="s">
        <v>267</v>
      </c>
      <c r="AF22" s="0" t="s">
        <v>268</v>
      </c>
      <c r="AG22" s="0" t="s">
        <v>269</v>
      </c>
      <c r="AH22" s="0" t="s">
        <v>270</v>
      </c>
      <c r="AI22" s="0" t="s">
        <v>46</v>
      </c>
      <c r="AJ22" s="0" t="s">
        <v>46</v>
      </c>
      <c r="AK22" s="0" t="s">
        <v>46</v>
      </c>
      <c r="AL22" s="0" t="s">
        <v>46</v>
      </c>
    </row>
    <row r="23" customFormat="false" ht="15" hidden="false" customHeight="false" outlineLevel="0" collapsed="false">
      <c r="B23" s="0" t="str">
        <f aca="false">HYPERLINK("https://genome.ucsc.edu/cgi-bin/hgTracks?db=hg19&amp;position=chr16%3A68337958%2D68337958", "chr16:68337958")</f>
        <v>chr16:68337958</v>
      </c>
      <c r="C23" s="0" t="s">
        <v>271</v>
      </c>
      <c r="D23" s="0" t="n">
        <v>68337958</v>
      </c>
      <c r="E23" s="0" t="n">
        <v>68337958</v>
      </c>
      <c r="F23" s="0" t="s">
        <v>39</v>
      </c>
      <c r="G23" s="0" t="s">
        <v>40</v>
      </c>
      <c r="H23" s="0" t="s">
        <v>272</v>
      </c>
      <c r="I23" s="0" t="s">
        <v>273</v>
      </c>
      <c r="J23" s="0" t="s">
        <v>274</v>
      </c>
      <c r="K23" s="0" t="s">
        <v>46</v>
      </c>
      <c r="L23" s="0" t="str">
        <f aca="false">HYPERLINK("https://www.ncbi.nlm.nih.gov/snp/rs138428124", "rs138428124")</f>
        <v>rs138428124</v>
      </c>
      <c r="M23" s="0" t="str">
        <f aca="false">HYPERLINK("https://www.genecards.org/Search/Keyword?queryString=%5Baliases%5D(%20SLC7A6OS%20)&amp;keywords=SLC7A6OS", "SLC7A6OS")</f>
        <v>SLC7A6OS</v>
      </c>
      <c r="N23" s="0" t="s">
        <v>98</v>
      </c>
      <c r="O23" s="0" t="s">
        <v>99</v>
      </c>
      <c r="P23" s="0" t="s">
        <v>275</v>
      </c>
      <c r="Q23" s="0" t="n">
        <v>0.0098</v>
      </c>
      <c r="R23" s="0" t="n">
        <v>0.0054</v>
      </c>
      <c r="S23" s="0" t="n">
        <v>0.0056</v>
      </c>
      <c r="T23" s="0" t="n">
        <v>-1</v>
      </c>
      <c r="U23" s="0" t="n">
        <v>0.0062</v>
      </c>
      <c r="V23" s="0" t="s">
        <v>230</v>
      </c>
      <c r="W23" s="0" t="s">
        <v>46</v>
      </c>
      <c r="X23" s="0" t="s">
        <v>46</v>
      </c>
      <c r="Y23" s="0" t="s">
        <v>46</v>
      </c>
      <c r="Z23" s="0" t="s">
        <v>102</v>
      </c>
      <c r="AA23" s="0" t="s">
        <v>171</v>
      </c>
      <c r="AB23" s="0" t="s">
        <v>266</v>
      </c>
      <c r="AC23" s="0" t="s">
        <v>51</v>
      </c>
      <c r="AD23" s="0" t="s">
        <v>52</v>
      </c>
      <c r="AE23" s="0" t="s">
        <v>276</v>
      </c>
      <c r="AF23" s="0" t="s">
        <v>277</v>
      </c>
      <c r="AG23" s="0" t="s">
        <v>278</v>
      </c>
      <c r="AH23" s="0" t="s">
        <v>46</v>
      </c>
      <c r="AI23" s="0" t="s">
        <v>46</v>
      </c>
      <c r="AJ23" s="0" t="s">
        <v>46</v>
      </c>
      <c r="AK23" s="0" t="s">
        <v>46</v>
      </c>
      <c r="AL23" s="0" t="s">
        <v>46</v>
      </c>
    </row>
    <row r="24" customFormat="false" ht="15" hidden="false" customHeight="false" outlineLevel="0" collapsed="false">
      <c r="B24" s="0" t="str">
        <f aca="false">HYPERLINK("https://genome.ucsc.edu/cgi-bin/hgTracks?db=hg19&amp;position=chr17%3A27614186%2D27614186", "chr17:27614186")</f>
        <v>chr17:27614186</v>
      </c>
      <c r="C24" s="0" t="s">
        <v>279</v>
      </c>
      <c r="D24" s="0" t="n">
        <v>27614186</v>
      </c>
      <c r="E24" s="0" t="n">
        <v>27614186</v>
      </c>
      <c r="F24" s="0" t="s">
        <v>57</v>
      </c>
      <c r="G24" s="0" t="s">
        <v>69</v>
      </c>
      <c r="H24" s="0" t="s">
        <v>280</v>
      </c>
      <c r="I24" s="0" t="s">
        <v>281</v>
      </c>
      <c r="J24" s="0" t="s">
        <v>282</v>
      </c>
      <c r="K24" s="0" t="s">
        <v>46</v>
      </c>
      <c r="L24" s="0" t="str">
        <f aca="false">HYPERLINK("https://www.ncbi.nlm.nih.gov/snp/rs139731845", "rs139731845")</f>
        <v>rs139731845</v>
      </c>
      <c r="M24" s="0" t="str">
        <f aca="false">HYPERLINK("https://www.genecards.org/Search/Keyword?queryString=%5Baliases%5D(%20NUFIP2%20)&amp;keywords=NUFIP2", "NUFIP2")</f>
        <v>NUFIP2</v>
      </c>
      <c r="N24" s="0" t="s">
        <v>98</v>
      </c>
      <c r="O24" s="0" t="s">
        <v>99</v>
      </c>
      <c r="P24" s="0" t="s">
        <v>283</v>
      </c>
      <c r="Q24" s="0" t="n">
        <v>0.0067</v>
      </c>
      <c r="R24" s="0" t="n">
        <v>0.0083</v>
      </c>
      <c r="S24" s="0" t="n">
        <v>0.0067</v>
      </c>
      <c r="T24" s="0" t="n">
        <v>-1</v>
      </c>
      <c r="U24" s="0" t="n">
        <v>0.0129</v>
      </c>
      <c r="V24" s="0" t="s">
        <v>158</v>
      </c>
      <c r="W24" s="0" t="s">
        <v>46</v>
      </c>
      <c r="X24" s="0" t="s">
        <v>46</v>
      </c>
      <c r="Y24" s="0" t="s">
        <v>46</v>
      </c>
      <c r="Z24" s="0" t="s">
        <v>102</v>
      </c>
      <c r="AA24" s="0" t="s">
        <v>171</v>
      </c>
      <c r="AB24" s="0" t="s">
        <v>266</v>
      </c>
      <c r="AC24" s="0" t="s">
        <v>51</v>
      </c>
      <c r="AD24" s="0" t="s">
        <v>52</v>
      </c>
      <c r="AE24" s="0" t="s">
        <v>284</v>
      </c>
      <c r="AF24" s="0" t="s">
        <v>285</v>
      </c>
      <c r="AG24" s="0" t="s">
        <v>286</v>
      </c>
      <c r="AH24" s="0" t="s">
        <v>46</v>
      </c>
      <c r="AI24" s="0" t="s">
        <v>46</v>
      </c>
      <c r="AJ24" s="0" t="s">
        <v>46</v>
      </c>
      <c r="AK24" s="0" t="s">
        <v>46</v>
      </c>
      <c r="AL24" s="0" t="s">
        <v>46</v>
      </c>
    </row>
    <row r="25" customFormat="false" ht="15" hidden="false" customHeight="false" outlineLevel="0" collapsed="false">
      <c r="B25" s="0" t="str">
        <f aca="false">HYPERLINK("https://genome.ucsc.edu/cgi-bin/hgTracks?db=hg19&amp;position=chr17%3A74073094%2D74073094", "chr17:74073094")</f>
        <v>chr17:74073094</v>
      </c>
      <c r="C25" s="0" t="s">
        <v>279</v>
      </c>
      <c r="D25" s="0" t="n">
        <v>74073094</v>
      </c>
      <c r="E25" s="0" t="n">
        <v>74073094</v>
      </c>
      <c r="F25" s="0" t="s">
        <v>69</v>
      </c>
      <c r="G25" s="0" t="s">
        <v>40</v>
      </c>
      <c r="H25" s="0" t="s">
        <v>287</v>
      </c>
      <c r="I25" s="0" t="s">
        <v>288</v>
      </c>
      <c r="J25" s="0" t="s">
        <v>289</v>
      </c>
      <c r="K25" s="0" t="s">
        <v>46</v>
      </c>
      <c r="L25" s="0" t="str">
        <f aca="false">HYPERLINK("https://www.ncbi.nlm.nih.gov/snp/rs61745847", "rs61745847")</f>
        <v>rs61745847</v>
      </c>
      <c r="M25" s="0" t="str">
        <f aca="false">HYPERLINK("https://www.genecards.org/Search/Keyword?queryString=%5Baliases%5D(%20GALR2%20)&amp;keywords=GALR2", "GALR2")</f>
        <v>GALR2</v>
      </c>
      <c r="N25" s="0" t="s">
        <v>98</v>
      </c>
      <c r="O25" s="0" t="s">
        <v>99</v>
      </c>
      <c r="P25" s="0" t="s">
        <v>290</v>
      </c>
      <c r="Q25" s="0" t="n">
        <v>0.0172</v>
      </c>
      <c r="R25" s="0" t="n">
        <v>0.0086</v>
      </c>
      <c r="S25" s="0" t="n">
        <v>0.0084</v>
      </c>
      <c r="T25" s="0" t="n">
        <v>-1</v>
      </c>
      <c r="U25" s="0" t="n">
        <v>0.0089</v>
      </c>
      <c r="V25" s="0" t="s">
        <v>291</v>
      </c>
      <c r="W25" s="0" t="s">
        <v>46</v>
      </c>
      <c r="X25" s="0" t="s">
        <v>46</v>
      </c>
      <c r="Y25" s="0" t="s">
        <v>46</v>
      </c>
      <c r="Z25" s="0" t="s">
        <v>183</v>
      </c>
      <c r="AA25" s="0" t="s">
        <v>171</v>
      </c>
      <c r="AB25" s="0" t="s">
        <v>266</v>
      </c>
      <c r="AC25" s="0" t="s">
        <v>51</v>
      </c>
      <c r="AD25" s="0" t="s">
        <v>52</v>
      </c>
      <c r="AE25" s="0" t="s">
        <v>292</v>
      </c>
      <c r="AF25" s="0" t="s">
        <v>293</v>
      </c>
      <c r="AG25" s="0" t="s">
        <v>294</v>
      </c>
      <c r="AH25" s="0" t="s">
        <v>46</v>
      </c>
      <c r="AI25" s="0" t="s">
        <v>46</v>
      </c>
      <c r="AJ25" s="0" t="s">
        <v>46</v>
      </c>
      <c r="AK25" s="0" t="s">
        <v>46</v>
      </c>
      <c r="AL25" s="0" t="s">
        <v>46</v>
      </c>
    </row>
    <row r="26" customFormat="false" ht="15" hidden="false" customHeight="false" outlineLevel="0" collapsed="false">
      <c r="B26" s="0" t="str">
        <f aca="false">HYPERLINK("https://genome.ucsc.edu/cgi-bin/hgTracks?db=hg19&amp;position=chr6%3A32084337%2D32084337", "chr6:32084337")</f>
        <v>chr6:32084337</v>
      </c>
      <c r="C26" s="0" t="s">
        <v>164</v>
      </c>
      <c r="D26" s="0" t="n">
        <v>32084337</v>
      </c>
      <c r="E26" s="0" t="n">
        <v>32084337</v>
      </c>
      <c r="F26" s="0" t="s">
        <v>40</v>
      </c>
      <c r="G26" s="0" t="s">
        <v>57</v>
      </c>
      <c r="H26" s="0" t="s">
        <v>295</v>
      </c>
      <c r="I26" s="0" t="s">
        <v>144</v>
      </c>
      <c r="J26" s="0" t="s">
        <v>296</v>
      </c>
      <c r="K26" s="0" t="s">
        <v>46</v>
      </c>
      <c r="L26" s="0" t="str">
        <f aca="false">HYPERLINK("https://www.ncbi.nlm.nih.gov/snp/rs147955878", "rs147955878")</f>
        <v>rs147955878</v>
      </c>
      <c r="M26" s="0" t="str">
        <f aca="false">HYPERLINK("https://www.genecards.org/Search/Keyword?queryString=%5Baliases%5D(%20ATF6B%20)&amp;keywords=ATF6B", "ATF6B")</f>
        <v>ATF6B</v>
      </c>
      <c r="N26" s="0" t="s">
        <v>98</v>
      </c>
      <c r="O26" s="0" t="s">
        <v>99</v>
      </c>
      <c r="P26" s="0" t="s">
        <v>297</v>
      </c>
      <c r="Q26" s="0" t="n">
        <v>0.008621</v>
      </c>
      <c r="R26" s="0" t="n">
        <v>0.0086</v>
      </c>
      <c r="S26" s="0" t="n">
        <v>0.009</v>
      </c>
      <c r="T26" s="0" t="n">
        <v>-1</v>
      </c>
      <c r="U26" s="0" t="n">
        <v>0.0087</v>
      </c>
      <c r="V26" s="0" t="s">
        <v>126</v>
      </c>
      <c r="W26" s="0" t="s">
        <v>46</v>
      </c>
      <c r="X26" s="0" t="s">
        <v>46</v>
      </c>
      <c r="Y26" s="0" t="s">
        <v>46</v>
      </c>
      <c r="Z26" s="0" t="s">
        <v>102</v>
      </c>
      <c r="AA26" s="0" t="s">
        <v>171</v>
      </c>
      <c r="AB26" s="0" t="s">
        <v>266</v>
      </c>
      <c r="AC26" s="0" t="s">
        <v>51</v>
      </c>
      <c r="AD26" s="0" t="s">
        <v>52</v>
      </c>
      <c r="AE26" s="0" t="s">
        <v>298</v>
      </c>
      <c r="AF26" s="0" t="s">
        <v>299</v>
      </c>
      <c r="AG26" s="0" t="s">
        <v>300</v>
      </c>
      <c r="AH26" s="0" t="s">
        <v>46</v>
      </c>
      <c r="AI26" s="0" t="s">
        <v>301</v>
      </c>
      <c r="AJ26" s="0" t="s">
        <v>46</v>
      </c>
      <c r="AK26" s="0" t="s">
        <v>175</v>
      </c>
      <c r="AL26" s="0" t="s">
        <v>46</v>
      </c>
    </row>
    <row r="27" customFormat="false" ht="15" hidden="false" customHeight="false" outlineLevel="0" collapsed="false">
      <c r="B27" s="0" t="str">
        <f aca="false">HYPERLINK("https://genome.ucsc.edu/cgi-bin/hgTracks?db=hg19&amp;position=chr17%3A4926868%2D4926868", "chr17:4926868")</f>
        <v>chr17:4926868</v>
      </c>
      <c r="C27" s="0" t="s">
        <v>279</v>
      </c>
      <c r="D27" s="0" t="n">
        <v>4926868</v>
      </c>
      <c r="E27" s="0" t="n">
        <v>4926868</v>
      </c>
      <c r="F27" s="0" t="s">
        <v>39</v>
      </c>
      <c r="G27" s="0" t="s">
        <v>40</v>
      </c>
      <c r="H27" s="0" t="s">
        <v>302</v>
      </c>
      <c r="I27" s="0" t="s">
        <v>144</v>
      </c>
      <c r="J27" s="0" t="s">
        <v>303</v>
      </c>
      <c r="K27" s="0" t="s">
        <v>46</v>
      </c>
      <c r="L27" s="0" t="str">
        <f aca="false">HYPERLINK("https://www.ncbi.nlm.nih.gov/snp/rs202232792", "rs202232792")</f>
        <v>rs202232792</v>
      </c>
      <c r="M27" s="0" t="str">
        <f aca="false">HYPERLINK("https://www.genecards.org/Search/Keyword?queryString=%5Baliases%5D(%20KIF1C%20)&amp;keywords=KIF1C", "KIF1C")</f>
        <v>KIF1C</v>
      </c>
      <c r="N27" s="0" t="s">
        <v>98</v>
      </c>
      <c r="O27" s="0" t="s">
        <v>99</v>
      </c>
      <c r="P27" s="0" t="s">
        <v>304</v>
      </c>
      <c r="Q27" s="0" t="n">
        <v>0.0069</v>
      </c>
      <c r="R27" s="0" t="n">
        <v>0.0016</v>
      </c>
      <c r="S27" s="0" t="n">
        <v>0.0016</v>
      </c>
      <c r="T27" s="0" t="n">
        <v>-1</v>
      </c>
      <c r="U27" s="0" t="n">
        <v>0.002</v>
      </c>
      <c r="V27" s="0" t="s">
        <v>148</v>
      </c>
      <c r="W27" s="0" t="s">
        <v>46</v>
      </c>
      <c r="X27" s="0" t="s">
        <v>46</v>
      </c>
      <c r="Y27" s="0" t="s">
        <v>46</v>
      </c>
      <c r="Z27" s="0" t="s">
        <v>159</v>
      </c>
      <c r="AA27" s="0" t="s">
        <v>171</v>
      </c>
      <c r="AB27" s="0" t="s">
        <v>116</v>
      </c>
      <c r="AC27" s="0" t="s">
        <v>51</v>
      </c>
      <c r="AD27" s="0" t="s">
        <v>52</v>
      </c>
      <c r="AE27" s="0" t="s">
        <v>305</v>
      </c>
      <c r="AF27" s="0" t="s">
        <v>306</v>
      </c>
      <c r="AG27" s="0" t="s">
        <v>307</v>
      </c>
      <c r="AH27" s="0" t="s">
        <v>308</v>
      </c>
      <c r="AI27" s="0" t="s">
        <v>46</v>
      </c>
      <c r="AJ27" s="0" t="s">
        <v>46</v>
      </c>
      <c r="AK27" s="0" t="s">
        <v>46</v>
      </c>
      <c r="AL27" s="0" t="s">
        <v>46</v>
      </c>
    </row>
    <row r="28" customFormat="false" ht="15" hidden="false" customHeight="false" outlineLevel="0" collapsed="false">
      <c r="B28" s="0" t="str">
        <f aca="false">HYPERLINK("https://genome.ucsc.edu/cgi-bin/hgTracks?db=hg19&amp;position=chr3%3A158363463%2D158363463", "chr3:158363463")</f>
        <v>chr3:158363463</v>
      </c>
      <c r="C28" s="0" t="s">
        <v>309</v>
      </c>
      <c r="D28" s="0" t="n">
        <v>158363463</v>
      </c>
      <c r="E28" s="0" t="n">
        <v>158363463</v>
      </c>
      <c r="F28" s="0" t="s">
        <v>57</v>
      </c>
      <c r="G28" s="0" t="s">
        <v>69</v>
      </c>
      <c r="H28" s="0" t="s">
        <v>310</v>
      </c>
      <c r="I28" s="0" t="s">
        <v>311</v>
      </c>
      <c r="J28" s="0" t="s">
        <v>312</v>
      </c>
      <c r="K28" s="0" t="s">
        <v>46</v>
      </c>
      <c r="L28" s="0" t="str">
        <f aca="false">HYPERLINK("https://www.ncbi.nlm.nih.gov/snp/rs35942089", "rs35942089")</f>
        <v>rs35942089</v>
      </c>
      <c r="M28" s="0" t="str">
        <f aca="false">HYPERLINK("https://www.genecards.org/Search/Keyword?queryString=%5Baliases%5D(%20GFM1%20)&amp;keywords=GFM1", "GFM1")</f>
        <v>GFM1</v>
      </c>
      <c r="N28" s="0" t="s">
        <v>98</v>
      </c>
      <c r="O28" s="0" t="s">
        <v>99</v>
      </c>
      <c r="P28" s="0" t="s">
        <v>313</v>
      </c>
      <c r="Q28" s="0" t="n">
        <v>0.0195</v>
      </c>
      <c r="R28" s="0" t="n">
        <v>0.0224</v>
      </c>
      <c r="S28" s="0" t="n">
        <v>0.0191</v>
      </c>
      <c r="T28" s="0" t="n">
        <v>-1</v>
      </c>
      <c r="U28" s="0" t="n">
        <v>0.0304</v>
      </c>
      <c r="V28" s="0" t="s">
        <v>314</v>
      </c>
      <c r="W28" s="0" t="s">
        <v>46</v>
      </c>
      <c r="X28" s="0" t="s">
        <v>46</v>
      </c>
      <c r="Y28" s="0" t="s">
        <v>46</v>
      </c>
      <c r="Z28" s="0" t="s">
        <v>183</v>
      </c>
      <c r="AA28" s="0" t="s">
        <v>171</v>
      </c>
      <c r="AB28" s="0" t="s">
        <v>116</v>
      </c>
      <c r="AC28" s="0" t="s">
        <v>51</v>
      </c>
      <c r="AD28" s="0" t="s">
        <v>52</v>
      </c>
      <c r="AE28" s="0" t="s">
        <v>315</v>
      </c>
      <c r="AF28" s="0" t="s">
        <v>316</v>
      </c>
      <c r="AG28" s="0" t="s">
        <v>317</v>
      </c>
      <c r="AH28" s="0" t="s">
        <v>318</v>
      </c>
      <c r="AI28" s="0" t="s">
        <v>46</v>
      </c>
      <c r="AJ28" s="0" t="s">
        <v>46</v>
      </c>
      <c r="AK28" s="0" t="s">
        <v>46</v>
      </c>
      <c r="AL28" s="0" t="s">
        <v>46</v>
      </c>
    </row>
    <row r="29" customFormat="false" ht="15" hidden="false" customHeight="false" outlineLevel="0" collapsed="false">
      <c r="B29" s="0" t="str">
        <f aca="false">HYPERLINK("https://genome.ucsc.edu/cgi-bin/hgTracks?db=hg19&amp;position=chr10%3A16911749%2D16911749", "chr10:16911749")</f>
        <v>chr10:16911749</v>
      </c>
      <c r="C29" s="0" t="s">
        <v>199</v>
      </c>
      <c r="D29" s="0" t="n">
        <v>16911749</v>
      </c>
      <c r="E29" s="0" t="n">
        <v>16911749</v>
      </c>
      <c r="F29" s="0" t="s">
        <v>39</v>
      </c>
      <c r="G29" s="0" t="s">
        <v>40</v>
      </c>
      <c r="H29" s="0" t="s">
        <v>319</v>
      </c>
      <c r="I29" s="0" t="s">
        <v>320</v>
      </c>
      <c r="J29" s="0" t="s">
        <v>321</v>
      </c>
      <c r="K29" s="0" t="s">
        <v>46</v>
      </c>
      <c r="L29" s="0" t="str">
        <f aca="false">HYPERLINK("https://www.ncbi.nlm.nih.gov/snp/rs117035284", "rs117035284")</f>
        <v>rs117035284</v>
      </c>
      <c r="M29" s="0" t="str">
        <f aca="false">HYPERLINK("https://www.genecards.org/Search/Keyword?queryString=%5Baliases%5D(%20CUBN%20)&amp;keywords=CUBN", "CUBN")</f>
        <v>CUBN</v>
      </c>
      <c r="N29" s="0" t="s">
        <v>98</v>
      </c>
      <c r="O29" s="0" t="s">
        <v>99</v>
      </c>
      <c r="P29" s="0" t="s">
        <v>322</v>
      </c>
      <c r="Q29" s="0" t="n">
        <v>0.0092</v>
      </c>
      <c r="R29" s="0" t="n">
        <v>0.0084</v>
      </c>
      <c r="S29" s="0" t="n">
        <v>0.0079</v>
      </c>
      <c r="T29" s="0" t="n">
        <v>-1</v>
      </c>
      <c r="U29" s="0" t="n">
        <v>0.0069</v>
      </c>
      <c r="V29" s="0" t="s">
        <v>323</v>
      </c>
      <c r="W29" s="0" t="s">
        <v>46</v>
      </c>
      <c r="X29" s="0" t="s">
        <v>46</v>
      </c>
      <c r="Y29" s="0" t="s">
        <v>46</v>
      </c>
      <c r="Z29" s="0" t="s">
        <v>231</v>
      </c>
      <c r="AA29" s="0" t="s">
        <v>171</v>
      </c>
      <c r="AB29" s="0" t="s">
        <v>115</v>
      </c>
      <c r="AC29" s="0" t="s">
        <v>51</v>
      </c>
      <c r="AD29" s="0" t="s">
        <v>52</v>
      </c>
      <c r="AE29" s="0" t="s">
        <v>324</v>
      </c>
      <c r="AF29" s="0" t="s">
        <v>325</v>
      </c>
      <c r="AG29" s="0" t="s">
        <v>326</v>
      </c>
      <c r="AH29" s="0" t="s">
        <v>327</v>
      </c>
      <c r="AI29" s="0" t="s">
        <v>46</v>
      </c>
      <c r="AJ29" s="0" t="s">
        <v>46</v>
      </c>
      <c r="AK29" s="0" t="s">
        <v>46</v>
      </c>
      <c r="AL29" s="0" t="s">
        <v>46</v>
      </c>
    </row>
    <row r="30" customFormat="false" ht="15" hidden="false" customHeight="false" outlineLevel="0" collapsed="false">
      <c r="B30" s="0" t="str">
        <f aca="false">HYPERLINK("https://genome.ucsc.edu/cgi-bin/hgTracks?db=hg19&amp;position=chr10%3A116045796%2D116045796", "chr10:116045796")</f>
        <v>chr10:116045796</v>
      </c>
      <c r="C30" s="0" t="s">
        <v>199</v>
      </c>
      <c r="D30" s="0" t="n">
        <v>116045796</v>
      </c>
      <c r="E30" s="0" t="n">
        <v>116045796</v>
      </c>
      <c r="F30" s="0" t="s">
        <v>69</v>
      </c>
      <c r="G30" s="0" t="s">
        <v>57</v>
      </c>
      <c r="H30" s="0" t="s">
        <v>328</v>
      </c>
      <c r="I30" s="0" t="s">
        <v>59</v>
      </c>
      <c r="J30" s="0" t="s">
        <v>329</v>
      </c>
      <c r="K30" s="0" t="s">
        <v>46</v>
      </c>
      <c r="L30" s="0" t="str">
        <f aca="false">HYPERLINK("https://www.ncbi.nlm.nih.gov/snp/rs79009215", "rs79009215")</f>
        <v>rs79009215</v>
      </c>
      <c r="M30" s="0" t="str">
        <f aca="false">HYPERLINK("https://www.genecards.org/Search/Keyword?queryString=%5Baliases%5D(%20VWA2%20)&amp;keywords=VWA2", "VWA2")</f>
        <v>VWA2</v>
      </c>
      <c r="N30" s="0" t="s">
        <v>98</v>
      </c>
      <c r="O30" s="0" t="s">
        <v>99</v>
      </c>
      <c r="P30" s="0" t="s">
        <v>330</v>
      </c>
      <c r="Q30" s="0" t="n">
        <v>0.0224</v>
      </c>
      <c r="R30" s="0" t="n">
        <v>0.0109</v>
      </c>
      <c r="S30" s="0" t="n">
        <v>0.0126</v>
      </c>
      <c r="T30" s="0" t="n">
        <v>-1</v>
      </c>
      <c r="U30" s="0" t="n">
        <v>0.0087</v>
      </c>
      <c r="V30" s="0" t="s">
        <v>323</v>
      </c>
      <c r="W30" s="0" t="s">
        <v>46</v>
      </c>
      <c r="X30" s="0" t="s">
        <v>46</v>
      </c>
      <c r="Y30" s="0" t="s">
        <v>46</v>
      </c>
      <c r="Z30" s="0" t="s">
        <v>138</v>
      </c>
      <c r="AA30" s="0" t="s">
        <v>171</v>
      </c>
      <c r="AB30" s="0" t="s">
        <v>115</v>
      </c>
      <c r="AC30" s="0" t="s">
        <v>51</v>
      </c>
      <c r="AD30" s="0" t="s">
        <v>52</v>
      </c>
      <c r="AE30" s="0" t="s">
        <v>331</v>
      </c>
      <c r="AF30" s="0" t="s">
        <v>332</v>
      </c>
      <c r="AG30" s="0" t="s">
        <v>46</v>
      </c>
      <c r="AH30" s="0" t="s">
        <v>46</v>
      </c>
      <c r="AI30" s="0" t="s">
        <v>46</v>
      </c>
      <c r="AJ30" s="0" t="s">
        <v>46</v>
      </c>
      <c r="AK30" s="0" t="s">
        <v>46</v>
      </c>
      <c r="AL30" s="0" t="s">
        <v>46</v>
      </c>
    </row>
    <row r="31" customFormat="false" ht="15" hidden="false" customHeight="false" outlineLevel="0" collapsed="false">
      <c r="B31" s="0" t="str">
        <f aca="false">HYPERLINK("https://genome.ucsc.edu/cgi-bin/hgTracks?db=hg19&amp;position=chr12%3A48110202%2D48110202", "chr12:48110202")</f>
        <v>chr12:48110202</v>
      </c>
      <c r="C31" s="0" t="s">
        <v>235</v>
      </c>
      <c r="D31" s="0" t="n">
        <v>48110202</v>
      </c>
      <c r="E31" s="0" t="n">
        <v>48110202</v>
      </c>
      <c r="F31" s="0" t="s">
        <v>39</v>
      </c>
      <c r="G31" s="0" t="s">
        <v>40</v>
      </c>
      <c r="H31" s="0" t="s">
        <v>333</v>
      </c>
      <c r="I31" s="0" t="s">
        <v>220</v>
      </c>
      <c r="J31" s="0" t="s">
        <v>334</v>
      </c>
      <c r="K31" s="0" t="s">
        <v>46</v>
      </c>
      <c r="L31" s="0" t="str">
        <f aca="false">HYPERLINK("https://www.ncbi.nlm.nih.gov/snp/rs73300693", "rs73300693")</f>
        <v>rs73300693</v>
      </c>
      <c r="M31" s="0" t="str">
        <f aca="false">HYPERLINK("https://www.genecards.org/Search/Keyword?queryString=%5Baliases%5D(%20ENDOU%20)&amp;keywords=ENDOU", "ENDOU")</f>
        <v>ENDOU</v>
      </c>
      <c r="N31" s="0" t="s">
        <v>98</v>
      </c>
      <c r="O31" s="0" t="s">
        <v>99</v>
      </c>
      <c r="P31" s="0" t="s">
        <v>335</v>
      </c>
      <c r="Q31" s="0" t="n">
        <v>0.0174</v>
      </c>
      <c r="R31" s="0" t="n">
        <v>0.0145</v>
      </c>
      <c r="S31" s="0" t="n">
        <v>0.0118</v>
      </c>
      <c r="T31" s="0" t="n">
        <v>-1</v>
      </c>
      <c r="U31" s="0" t="n">
        <v>0.0109</v>
      </c>
      <c r="V31" s="0" t="s">
        <v>314</v>
      </c>
      <c r="W31" s="0" t="s">
        <v>46</v>
      </c>
      <c r="X31" s="0" t="s">
        <v>46</v>
      </c>
      <c r="Y31" s="0" t="s">
        <v>46</v>
      </c>
      <c r="Z31" s="0" t="s">
        <v>49</v>
      </c>
      <c r="AA31" s="0" t="s">
        <v>171</v>
      </c>
      <c r="AB31" s="0" t="s">
        <v>115</v>
      </c>
      <c r="AC31" s="0" t="s">
        <v>51</v>
      </c>
      <c r="AD31" s="0" t="s">
        <v>52</v>
      </c>
      <c r="AE31" s="0" t="s">
        <v>336</v>
      </c>
      <c r="AF31" s="0" t="s">
        <v>337</v>
      </c>
      <c r="AG31" s="0" t="s">
        <v>338</v>
      </c>
      <c r="AH31" s="0" t="s">
        <v>46</v>
      </c>
      <c r="AI31" s="0" t="s">
        <v>46</v>
      </c>
      <c r="AJ31" s="0" t="s">
        <v>46</v>
      </c>
      <c r="AK31" s="0" t="s">
        <v>46</v>
      </c>
      <c r="AL31" s="0" t="s">
        <v>46</v>
      </c>
    </row>
    <row r="32" customFormat="false" ht="15" hidden="false" customHeight="false" outlineLevel="0" collapsed="false">
      <c r="B32" s="0" t="str">
        <f aca="false">HYPERLINK("https://genome.ucsc.edu/cgi-bin/hgTracks?db=hg19&amp;position=chr12%3A96181228%2D96181228", "chr12:96181228")</f>
        <v>chr12:96181228</v>
      </c>
      <c r="C32" s="0" t="s">
        <v>235</v>
      </c>
      <c r="D32" s="0" t="n">
        <v>96181228</v>
      </c>
      <c r="E32" s="0" t="n">
        <v>96181228</v>
      </c>
      <c r="F32" s="0" t="s">
        <v>39</v>
      </c>
      <c r="G32" s="0" t="s">
        <v>57</v>
      </c>
      <c r="H32" s="0" t="s">
        <v>339</v>
      </c>
      <c r="I32" s="0" t="s">
        <v>340</v>
      </c>
      <c r="J32" s="0" t="s">
        <v>341</v>
      </c>
      <c r="K32" s="0" t="s">
        <v>46</v>
      </c>
      <c r="L32" s="0" t="str">
        <f aca="false">HYPERLINK("https://www.ncbi.nlm.nih.gov/snp/rs34684875", "rs34684875")</f>
        <v>rs34684875</v>
      </c>
      <c r="M32" s="0" t="str">
        <f aca="false">HYPERLINK("https://www.genecards.org/Search/Keyword?queryString=%5Baliases%5D(%20NTN4%20)&amp;keywords=NTN4", "NTN4")</f>
        <v>NTN4</v>
      </c>
      <c r="N32" s="0" t="s">
        <v>98</v>
      </c>
      <c r="O32" s="0" t="s">
        <v>99</v>
      </c>
      <c r="P32" s="0" t="s">
        <v>342</v>
      </c>
      <c r="Q32" s="0" t="n">
        <v>0.026316</v>
      </c>
      <c r="R32" s="0" t="n">
        <v>0.0034</v>
      </c>
      <c r="S32" s="0" t="n">
        <v>0.0072</v>
      </c>
      <c r="T32" s="0" t="n">
        <v>-1</v>
      </c>
      <c r="U32" s="0" t="n">
        <v>0.0041</v>
      </c>
      <c r="V32" s="0" t="s">
        <v>170</v>
      </c>
      <c r="W32" s="0" t="s">
        <v>46</v>
      </c>
      <c r="X32" s="0" t="s">
        <v>46</v>
      </c>
      <c r="Y32" s="0" t="s">
        <v>46</v>
      </c>
      <c r="Z32" s="0" t="s">
        <v>159</v>
      </c>
      <c r="AA32" s="0" t="s">
        <v>171</v>
      </c>
      <c r="AB32" s="0" t="s">
        <v>115</v>
      </c>
      <c r="AC32" s="0" t="s">
        <v>51</v>
      </c>
      <c r="AD32" s="0" t="s">
        <v>52</v>
      </c>
      <c r="AE32" s="0" t="s">
        <v>343</v>
      </c>
      <c r="AF32" s="0" t="s">
        <v>344</v>
      </c>
      <c r="AG32" s="0" t="s">
        <v>345</v>
      </c>
      <c r="AH32" s="0" t="s">
        <v>46</v>
      </c>
      <c r="AI32" s="0" t="s">
        <v>46</v>
      </c>
      <c r="AJ32" s="0" t="s">
        <v>46</v>
      </c>
      <c r="AK32" s="0" t="s">
        <v>46</v>
      </c>
      <c r="AL32" s="0" t="s">
        <v>46</v>
      </c>
    </row>
    <row r="33" customFormat="false" ht="15" hidden="false" customHeight="false" outlineLevel="0" collapsed="false">
      <c r="B33" s="0" t="str">
        <f aca="false">HYPERLINK("https://genome.ucsc.edu/cgi-bin/hgTracks?db=hg19&amp;position=chr14%3A52520302%2D52520302", "chr14:52520302")</f>
        <v>chr14:52520302</v>
      </c>
      <c r="C33" s="0" t="s">
        <v>346</v>
      </c>
      <c r="D33" s="0" t="n">
        <v>52520302</v>
      </c>
      <c r="E33" s="0" t="n">
        <v>52520302</v>
      </c>
      <c r="F33" s="0" t="s">
        <v>69</v>
      </c>
      <c r="G33" s="0" t="s">
        <v>57</v>
      </c>
      <c r="H33" s="0" t="s">
        <v>347</v>
      </c>
      <c r="I33" s="0" t="s">
        <v>348</v>
      </c>
      <c r="J33" s="0" t="s">
        <v>349</v>
      </c>
      <c r="K33" s="0" t="s">
        <v>46</v>
      </c>
      <c r="L33" s="0" t="str">
        <f aca="false">HYPERLINK("https://www.ncbi.nlm.nih.gov/snp/rs137941862", "rs137941862")</f>
        <v>rs137941862</v>
      </c>
      <c r="M33" s="0" t="str">
        <f aca="false">HYPERLINK("https://www.genecards.org/Search/Keyword?queryString=%5Baliases%5D(%20NID2%20)&amp;keywords=NID2", "NID2")</f>
        <v>NID2</v>
      </c>
      <c r="N33" s="0" t="s">
        <v>98</v>
      </c>
      <c r="O33" s="0" t="s">
        <v>99</v>
      </c>
      <c r="P33" s="0" t="s">
        <v>350</v>
      </c>
      <c r="Q33" s="0" t="n">
        <v>0.0132</v>
      </c>
      <c r="R33" s="0" t="n">
        <v>0.0157</v>
      </c>
      <c r="S33" s="0" t="n">
        <v>0.013</v>
      </c>
      <c r="T33" s="0" t="n">
        <v>-1</v>
      </c>
      <c r="U33" s="0" t="n">
        <v>0.0246</v>
      </c>
      <c r="V33" s="0" t="s">
        <v>148</v>
      </c>
      <c r="W33" s="0" t="s">
        <v>46</v>
      </c>
      <c r="X33" s="0" t="s">
        <v>46</v>
      </c>
      <c r="Y33" s="0" t="s">
        <v>46</v>
      </c>
      <c r="Z33" s="0" t="s">
        <v>49</v>
      </c>
      <c r="AA33" s="0" t="s">
        <v>171</v>
      </c>
      <c r="AB33" s="0" t="s">
        <v>115</v>
      </c>
      <c r="AC33" s="0" t="s">
        <v>51</v>
      </c>
      <c r="AD33" s="0" t="s">
        <v>52</v>
      </c>
      <c r="AE33" s="0" t="s">
        <v>351</v>
      </c>
      <c r="AF33" s="0" t="s">
        <v>352</v>
      </c>
      <c r="AG33" s="0" t="s">
        <v>353</v>
      </c>
      <c r="AH33" s="0" t="s">
        <v>46</v>
      </c>
      <c r="AI33" s="0" t="s">
        <v>46</v>
      </c>
      <c r="AJ33" s="0" t="s">
        <v>46</v>
      </c>
      <c r="AK33" s="0" t="s">
        <v>46</v>
      </c>
      <c r="AL33" s="0" t="s">
        <v>46</v>
      </c>
    </row>
    <row r="34" customFormat="false" ht="15" hidden="false" customHeight="false" outlineLevel="0" collapsed="false">
      <c r="B34" s="0" t="str">
        <f aca="false">HYPERLINK("https://genome.ucsc.edu/cgi-bin/hgTracks?db=hg19&amp;position=chr15%3A84700108%2D84700108", "chr15:84700108")</f>
        <v>chr15:84700108</v>
      </c>
      <c r="C34" s="0" t="s">
        <v>81</v>
      </c>
      <c r="D34" s="0" t="n">
        <v>84700108</v>
      </c>
      <c r="E34" s="0" t="n">
        <v>84700108</v>
      </c>
      <c r="F34" s="0" t="s">
        <v>39</v>
      </c>
      <c r="G34" s="0" t="s">
        <v>40</v>
      </c>
      <c r="H34" s="0" t="s">
        <v>354</v>
      </c>
      <c r="I34" s="0" t="s">
        <v>355</v>
      </c>
      <c r="J34" s="0" t="s">
        <v>356</v>
      </c>
      <c r="K34" s="0" t="s">
        <v>46</v>
      </c>
      <c r="L34" s="0" t="str">
        <f aca="false">HYPERLINK("https://www.ncbi.nlm.nih.gov/snp/rs35633782", "rs35633782")</f>
        <v>rs35633782</v>
      </c>
      <c r="M34" s="0" t="str">
        <f aca="false">HYPERLINK("https://www.genecards.org/Search/Keyword?queryString=%5Baliases%5D(%20ADAMTSL3%20)&amp;keywords=ADAMTSL3", "ADAMTSL3")</f>
        <v>ADAMTSL3</v>
      </c>
      <c r="N34" s="0" t="s">
        <v>98</v>
      </c>
      <c r="O34" s="0" t="s">
        <v>99</v>
      </c>
      <c r="P34" s="0" t="s">
        <v>357</v>
      </c>
      <c r="Q34" s="0" t="n">
        <v>0.0193</v>
      </c>
      <c r="R34" s="0" t="n">
        <v>0.0173</v>
      </c>
      <c r="S34" s="0" t="n">
        <v>0.0153</v>
      </c>
      <c r="T34" s="0" t="n">
        <v>-1</v>
      </c>
      <c r="U34" s="0" t="n">
        <v>0.0218</v>
      </c>
      <c r="V34" s="0" t="s">
        <v>158</v>
      </c>
      <c r="W34" s="0" t="s">
        <v>46</v>
      </c>
      <c r="X34" s="0" t="s">
        <v>46</v>
      </c>
      <c r="Y34" s="0" t="s">
        <v>46</v>
      </c>
      <c r="Z34" s="0" t="s">
        <v>49</v>
      </c>
      <c r="AA34" s="0" t="s">
        <v>171</v>
      </c>
      <c r="AB34" s="0" t="s">
        <v>115</v>
      </c>
      <c r="AC34" s="0" t="s">
        <v>51</v>
      </c>
      <c r="AD34" s="0" t="s">
        <v>52</v>
      </c>
      <c r="AE34" s="0" t="s">
        <v>358</v>
      </c>
      <c r="AF34" s="0" t="s">
        <v>359</v>
      </c>
      <c r="AG34" s="0" t="s">
        <v>46</v>
      </c>
      <c r="AH34" s="0" t="s">
        <v>46</v>
      </c>
      <c r="AI34" s="0" t="s">
        <v>46</v>
      </c>
      <c r="AJ34" s="0" t="s">
        <v>46</v>
      </c>
      <c r="AK34" s="0" t="s">
        <v>46</v>
      </c>
      <c r="AL34" s="0" t="s">
        <v>46</v>
      </c>
    </row>
    <row r="35" customFormat="false" ht="15" hidden="false" customHeight="false" outlineLevel="0" collapsed="false">
      <c r="B35" s="0" t="str">
        <f aca="false">HYPERLINK("https://genome.ucsc.edu/cgi-bin/hgTracks?db=hg19&amp;position=chr16%3A8891471%2D8891471", "chr16:8891471")</f>
        <v>chr16:8891471</v>
      </c>
      <c r="C35" s="0" t="s">
        <v>271</v>
      </c>
      <c r="D35" s="0" t="n">
        <v>8891471</v>
      </c>
      <c r="E35" s="0" t="n">
        <v>8891471</v>
      </c>
      <c r="F35" s="0" t="s">
        <v>40</v>
      </c>
      <c r="G35" s="0" t="s">
        <v>39</v>
      </c>
      <c r="H35" s="0" t="s">
        <v>360</v>
      </c>
      <c r="I35" s="0" t="s">
        <v>361</v>
      </c>
      <c r="J35" s="0" t="s">
        <v>362</v>
      </c>
      <c r="K35" s="0" t="s">
        <v>46</v>
      </c>
      <c r="L35" s="0" t="str">
        <f aca="false">HYPERLINK("https://www.ncbi.nlm.nih.gov/snp/rs147436106", "rs147436106")</f>
        <v>rs147436106</v>
      </c>
      <c r="M35" s="0" t="str">
        <f aca="false">HYPERLINK("https://www.genecards.org/Search/Keyword?queryString=%5Baliases%5D(%20TMEM186%20)&amp;keywords=TMEM186", "TMEM186")</f>
        <v>TMEM186</v>
      </c>
      <c r="N35" s="0" t="s">
        <v>98</v>
      </c>
      <c r="O35" s="0" t="s">
        <v>363</v>
      </c>
      <c r="P35" s="0" t="s">
        <v>364</v>
      </c>
      <c r="Q35" s="0" t="n">
        <v>0.0202</v>
      </c>
      <c r="R35" s="0" t="n">
        <v>0.0126</v>
      </c>
      <c r="S35" s="0" t="n">
        <v>0.0101</v>
      </c>
      <c r="T35" s="0" t="n">
        <v>-1</v>
      </c>
      <c r="U35" s="0" t="n">
        <v>0.0199</v>
      </c>
      <c r="V35" s="0" t="s">
        <v>365</v>
      </c>
      <c r="W35" s="0" t="s">
        <v>40</v>
      </c>
      <c r="X35" s="0" t="s">
        <v>46</v>
      </c>
      <c r="Y35" s="0" t="s">
        <v>46</v>
      </c>
      <c r="Z35" s="0" t="s">
        <v>138</v>
      </c>
      <c r="AA35" s="0" t="s">
        <v>171</v>
      </c>
      <c r="AB35" s="0" t="s">
        <v>115</v>
      </c>
      <c r="AC35" s="0" t="s">
        <v>51</v>
      </c>
      <c r="AD35" s="0" t="s">
        <v>52</v>
      </c>
      <c r="AE35" s="0" t="s">
        <v>366</v>
      </c>
      <c r="AF35" s="0" t="s">
        <v>367</v>
      </c>
      <c r="AG35" s="0" t="s">
        <v>46</v>
      </c>
      <c r="AH35" s="0" t="s">
        <v>46</v>
      </c>
      <c r="AI35" s="0" t="s">
        <v>46</v>
      </c>
      <c r="AJ35" s="0" t="s">
        <v>46</v>
      </c>
      <c r="AK35" s="0" t="s">
        <v>46</v>
      </c>
      <c r="AL35" s="0" t="s">
        <v>46</v>
      </c>
    </row>
    <row r="36" customFormat="false" ht="15" hidden="false" customHeight="false" outlineLevel="0" collapsed="false">
      <c r="B36" s="0" t="str">
        <f aca="false">HYPERLINK("https://genome.ucsc.edu/cgi-bin/hgTracks?db=hg19&amp;position=chr16%3A47495300%2D47495300", "chr16:47495300")</f>
        <v>chr16:47495300</v>
      </c>
      <c r="C36" s="0" t="s">
        <v>271</v>
      </c>
      <c r="D36" s="0" t="n">
        <v>47495300</v>
      </c>
      <c r="E36" s="0" t="n">
        <v>47495300</v>
      </c>
      <c r="F36" s="0" t="s">
        <v>69</v>
      </c>
      <c r="G36" s="0" t="s">
        <v>57</v>
      </c>
      <c r="H36" s="0" t="s">
        <v>368</v>
      </c>
      <c r="I36" s="0" t="s">
        <v>369</v>
      </c>
      <c r="J36" s="0" t="s">
        <v>370</v>
      </c>
      <c r="K36" s="0" t="s">
        <v>46</v>
      </c>
      <c r="L36" s="0" t="str">
        <f aca="false">HYPERLINK("https://www.ncbi.nlm.nih.gov/snp/rs141733590", "rs141733590")</f>
        <v>rs141733590</v>
      </c>
      <c r="M36" s="0" t="str">
        <f aca="false">HYPERLINK("https://www.genecards.org/Search/Keyword?queryString=%5Baliases%5D(%20PHKB%20)&amp;keywords=PHKB", "PHKB")</f>
        <v>PHKB</v>
      </c>
      <c r="N36" s="0" t="s">
        <v>98</v>
      </c>
      <c r="O36" s="0" t="s">
        <v>371</v>
      </c>
      <c r="P36" s="0" t="s">
        <v>372</v>
      </c>
      <c r="Q36" s="0" t="n">
        <v>0.0138</v>
      </c>
      <c r="R36" s="0" t="n">
        <v>0.0063</v>
      </c>
      <c r="S36" s="0" t="n">
        <v>0.0054</v>
      </c>
      <c r="T36" s="0" t="n">
        <v>-1</v>
      </c>
      <c r="U36" s="0" t="n">
        <v>0.0107</v>
      </c>
      <c r="V36" s="0" t="s">
        <v>373</v>
      </c>
      <c r="W36" s="0" t="s">
        <v>46</v>
      </c>
      <c r="X36" s="0" t="s">
        <v>46</v>
      </c>
      <c r="Y36" s="0" t="s">
        <v>46</v>
      </c>
      <c r="Z36" s="0" t="s">
        <v>102</v>
      </c>
      <c r="AA36" s="0" t="s">
        <v>171</v>
      </c>
      <c r="AB36" s="0" t="s">
        <v>115</v>
      </c>
      <c r="AC36" s="0" t="s">
        <v>51</v>
      </c>
      <c r="AD36" s="0" t="s">
        <v>52</v>
      </c>
      <c r="AE36" s="0" t="s">
        <v>374</v>
      </c>
      <c r="AF36" s="0" t="s">
        <v>375</v>
      </c>
      <c r="AG36" s="0" t="s">
        <v>376</v>
      </c>
      <c r="AH36" s="0" t="s">
        <v>377</v>
      </c>
      <c r="AI36" s="0" t="s">
        <v>46</v>
      </c>
      <c r="AJ36" s="0" t="s">
        <v>46</v>
      </c>
      <c r="AK36" s="0" t="s">
        <v>46</v>
      </c>
      <c r="AL36" s="0" t="s">
        <v>46</v>
      </c>
    </row>
    <row r="37" customFormat="false" ht="15" hidden="false" customHeight="false" outlineLevel="0" collapsed="false">
      <c r="B37" s="0" t="str">
        <f aca="false">HYPERLINK("https://genome.ucsc.edu/cgi-bin/hgTracks?db=hg19&amp;position=chr2%3A20130259%2D20130259", "chr2:20130259")</f>
        <v>chr2:20130259</v>
      </c>
      <c r="C37" s="0" t="s">
        <v>93</v>
      </c>
      <c r="D37" s="0" t="n">
        <v>20130259</v>
      </c>
      <c r="E37" s="0" t="n">
        <v>20130259</v>
      </c>
      <c r="F37" s="0" t="s">
        <v>69</v>
      </c>
      <c r="G37" s="0" t="s">
        <v>57</v>
      </c>
      <c r="H37" s="0" t="s">
        <v>378</v>
      </c>
      <c r="I37" s="0" t="s">
        <v>379</v>
      </c>
      <c r="J37" s="0" t="s">
        <v>380</v>
      </c>
      <c r="K37" s="0" t="s">
        <v>46</v>
      </c>
      <c r="L37" s="0" t="str">
        <f aca="false">HYPERLINK("https://www.ncbi.nlm.nih.gov/snp/rs56395266", "rs56395266")</f>
        <v>rs56395266</v>
      </c>
      <c r="M37" s="0" t="str">
        <f aca="false">HYPERLINK("https://www.genecards.org/Search/Keyword?queryString=%5Baliases%5D(%20WDR35%20)&amp;keywords=WDR35", "WDR35")</f>
        <v>WDR35</v>
      </c>
      <c r="N37" s="0" t="s">
        <v>98</v>
      </c>
      <c r="O37" s="0" t="s">
        <v>99</v>
      </c>
      <c r="P37" s="0" t="s">
        <v>381</v>
      </c>
      <c r="Q37" s="0" t="n">
        <v>0.0209</v>
      </c>
      <c r="R37" s="0" t="n">
        <v>0.0142</v>
      </c>
      <c r="S37" s="0" t="n">
        <v>0.0157</v>
      </c>
      <c r="T37" s="0" t="n">
        <v>-1</v>
      </c>
      <c r="U37" s="0" t="n">
        <v>0.0081</v>
      </c>
      <c r="V37" s="0" t="s">
        <v>137</v>
      </c>
      <c r="W37" s="0" t="s">
        <v>46</v>
      </c>
      <c r="X37" s="0" t="s">
        <v>46</v>
      </c>
      <c r="Y37" s="0" t="s">
        <v>46</v>
      </c>
      <c r="Z37" s="0" t="s">
        <v>183</v>
      </c>
      <c r="AA37" s="0" t="s">
        <v>171</v>
      </c>
      <c r="AB37" s="0" t="s">
        <v>115</v>
      </c>
      <c r="AC37" s="0" t="s">
        <v>51</v>
      </c>
      <c r="AD37" s="0" t="s">
        <v>52</v>
      </c>
      <c r="AE37" s="0" t="s">
        <v>382</v>
      </c>
      <c r="AF37" s="0" t="s">
        <v>383</v>
      </c>
      <c r="AG37" s="0" t="s">
        <v>384</v>
      </c>
      <c r="AH37" s="0" t="s">
        <v>385</v>
      </c>
      <c r="AI37" s="0" t="s">
        <v>46</v>
      </c>
      <c r="AJ37" s="0" t="s">
        <v>46</v>
      </c>
      <c r="AK37" s="0" t="s">
        <v>46</v>
      </c>
      <c r="AL37" s="0" t="s">
        <v>46</v>
      </c>
    </row>
    <row r="38" customFormat="false" ht="15" hidden="false" customHeight="false" outlineLevel="0" collapsed="false">
      <c r="B38" s="0" t="str">
        <f aca="false">HYPERLINK("https://genome.ucsc.edu/cgi-bin/hgTracks?db=hg19&amp;position=chr2%3A99978074%2D99978074", "chr2:99978074")</f>
        <v>chr2:99978074</v>
      </c>
      <c r="C38" s="0" t="s">
        <v>93</v>
      </c>
      <c r="D38" s="0" t="n">
        <v>99978074</v>
      </c>
      <c r="E38" s="0" t="n">
        <v>99978074</v>
      </c>
      <c r="F38" s="0" t="s">
        <v>57</v>
      </c>
      <c r="G38" s="0" t="s">
        <v>40</v>
      </c>
      <c r="H38" s="0" t="s">
        <v>386</v>
      </c>
      <c r="I38" s="0" t="s">
        <v>111</v>
      </c>
      <c r="J38" s="0" t="s">
        <v>112</v>
      </c>
      <c r="K38" s="0" t="s">
        <v>46</v>
      </c>
      <c r="L38" s="0" t="str">
        <f aca="false">HYPERLINK("https://www.ncbi.nlm.nih.gov/snp/rs201583340", "rs201583340")</f>
        <v>rs201583340</v>
      </c>
      <c r="M38" s="0" t="str">
        <f aca="false">HYPERLINK("https://www.genecards.org/Search/Keyword?queryString=%5Baliases%5D(%20EIF5B%20)&amp;keywords=EIF5B", "EIF5B")</f>
        <v>EIF5B</v>
      </c>
      <c r="N38" s="0" t="s">
        <v>98</v>
      </c>
      <c r="O38" s="0" t="s">
        <v>99</v>
      </c>
      <c r="P38" s="0" t="s">
        <v>387</v>
      </c>
      <c r="Q38" s="0" t="n">
        <v>0.0104</v>
      </c>
      <c r="R38" s="0" t="n">
        <v>0.01</v>
      </c>
      <c r="S38" s="0" t="n">
        <v>0.0089</v>
      </c>
      <c r="T38" s="0" t="n">
        <v>-1</v>
      </c>
      <c r="U38" s="0" t="n">
        <v>0.0152</v>
      </c>
      <c r="V38" s="0" t="s">
        <v>323</v>
      </c>
      <c r="W38" s="0" t="s">
        <v>46</v>
      </c>
      <c r="X38" s="0" t="s">
        <v>46</v>
      </c>
      <c r="Y38" s="0" t="s">
        <v>46</v>
      </c>
      <c r="Z38" s="0" t="s">
        <v>183</v>
      </c>
      <c r="AA38" s="0" t="s">
        <v>171</v>
      </c>
      <c r="AB38" s="0" t="s">
        <v>115</v>
      </c>
      <c r="AC38" s="0" t="s">
        <v>51</v>
      </c>
      <c r="AD38" s="0" t="s">
        <v>52</v>
      </c>
      <c r="AE38" s="0" t="s">
        <v>388</v>
      </c>
      <c r="AF38" s="0" t="s">
        <v>389</v>
      </c>
      <c r="AG38" s="0" t="s">
        <v>390</v>
      </c>
      <c r="AH38" s="0" t="s">
        <v>46</v>
      </c>
      <c r="AI38" s="0" t="s">
        <v>46</v>
      </c>
      <c r="AJ38" s="0" t="s">
        <v>46</v>
      </c>
      <c r="AK38" s="0" t="s">
        <v>46</v>
      </c>
      <c r="AL38" s="0" t="s">
        <v>46</v>
      </c>
    </row>
    <row r="39" customFormat="false" ht="15" hidden="false" customHeight="false" outlineLevel="0" collapsed="false">
      <c r="B39" s="0" t="str">
        <f aca="false">HYPERLINK("https://genome.ucsc.edu/cgi-bin/hgTracks?db=hg19&amp;position=chr22%3A40797647%2D40797647", "chr22:40797647")</f>
        <v>chr22:40797647</v>
      </c>
      <c r="C39" s="0" t="s">
        <v>391</v>
      </c>
      <c r="D39" s="0" t="n">
        <v>40797647</v>
      </c>
      <c r="E39" s="0" t="n">
        <v>40797647</v>
      </c>
      <c r="F39" s="0" t="s">
        <v>40</v>
      </c>
      <c r="G39" s="0" t="s">
        <v>39</v>
      </c>
      <c r="H39" s="0" t="s">
        <v>392</v>
      </c>
      <c r="I39" s="0" t="s">
        <v>393</v>
      </c>
      <c r="J39" s="0" t="s">
        <v>394</v>
      </c>
      <c r="K39" s="0" t="s">
        <v>46</v>
      </c>
      <c r="L39" s="0" t="str">
        <f aca="false">HYPERLINK("https://www.ncbi.nlm.nih.gov/snp/rs9611338", "rs9611338")</f>
        <v>rs9611338</v>
      </c>
      <c r="M39" s="0" t="str">
        <f aca="false">HYPERLINK("https://www.genecards.org/Search/Keyword?queryString=%5Baliases%5D(%20SGSM3%20)&amp;keywords=SGSM3", "SGSM3")</f>
        <v>SGSM3</v>
      </c>
      <c r="N39" s="0" t="s">
        <v>98</v>
      </c>
      <c r="O39" s="0" t="s">
        <v>99</v>
      </c>
      <c r="P39" s="0" t="s">
        <v>395</v>
      </c>
      <c r="Q39" s="0" t="n">
        <v>0.0126</v>
      </c>
      <c r="R39" s="0" t="n">
        <v>0.0129</v>
      </c>
      <c r="S39" s="0" t="n">
        <v>0.0123</v>
      </c>
      <c r="T39" s="0" t="n">
        <v>-1</v>
      </c>
      <c r="U39" s="0" t="n">
        <v>0.0121</v>
      </c>
      <c r="V39" s="0" t="s">
        <v>323</v>
      </c>
      <c r="W39" s="0" t="s">
        <v>46</v>
      </c>
      <c r="X39" s="0" t="s">
        <v>46</v>
      </c>
      <c r="Y39" s="0" t="s">
        <v>46</v>
      </c>
      <c r="Z39" s="0" t="s">
        <v>102</v>
      </c>
      <c r="AA39" s="0" t="s">
        <v>171</v>
      </c>
      <c r="AB39" s="0" t="s">
        <v>115</v>
      </c>
      <c r="AC39" s="0" t="s">
        <v>51</v>
      </c>
      <c r="AD39" s="0" t="s">
        <v>52</v>
      </c>
      <c r="AE39" s="0" t="s">
        <v>396</v>
      </c>
      <c r="AF39" s="0" t="s">
        <v>397</v>
      </c>
      <c r="AG39" s="0" t="s">
        <v>398</v>
      </c>
      <c r="AH39" s="0" t="s">
        <v>46</v>
      </c>
      <c r="AI39" s="0" t="s">
        <v>46</v>
      </c>
      <c r="AJ39" s="0" t="s">
        <v>46</v>
      </c>
      <c r="AK39" s="0" t="s">
        <v>46</v>
      </c>
      <c r="AL39" s="0" t="s">
        <v>46</v>
      </c>
    </row>
    <row r="40" customFormat="false" ht="15" hidden="false" customHeight="false" outlineLevel="0" collapsed="false">
      <c r="B40" s="0" t="str">
        <f aca="false">HYPERLINK("https://genome.ucsc.edu/cgi-bin/hgTracks?db=hg19&amp;position=chr3%3A74350674%2D74350674", "chr3:74350674")</f>
        <v>chr3:74350674</v>
      </c>
      <c r="C40" s="0" t="s">
        <v>309</v>
      </c>
      <c r="D40" s="0" t="n">
        <v>74350674</v>
      </c>
      <c r="E40" s="0" t="n">
        <v>74350674</v>
      </c>
      <c r="F40" s="0" t="s">
        <v>69</v>
      </c>
      <c r="G40" s="0" t="s">
        <v>57</v>
      </c>
      <c r="H40" s="0" t="s">
        <v>399</v>
      </c>
      <c r="I40" s="0" t="s">
        <v>400</v>
      </c>
      <c r="J40" s="0" t="s">
        <v>401</v>
      </c>
      <c r="K40" s="0" t="s">
        <v>46</v>
      </c>
      <c r="L40" s="0" t="str">
        <f aca="false">HYPERLINK("https://www.ncbi.nlm.nih.gov/snp/rs139861462", "rs139861462")</f>
        <v>rs139861462</v>
      </c>
      <c r="M40" s="0" t="str">
        <f aca="false">HYPERLINK("https://www.genecards.org/Search/Keyword?queryString=%5Baliases%5D(%20CNTN3%20)&amp;keywords=CNTN3", "CNTN3")</f>
        <v>CNTN3</v>
      </c>
      <c r="N40" s="0" t="s">
        <v>98</v>
      </c>
      <c r="O40" s="0" t="s">
        <v>99</v>
      </c>
      <c r="P40" s="0" t="s">
        <v>402</v>
      </c>
      <c r="Q40" s="0" t="n">
        <v>0.0062</v>
      </c>
      <c r="R40" s="0" t="n">
        <v>0.0059</v>
      </c>
      <c r="S40" s="0" t="n">
        <v>0.0072</v>
      </c>
      <c r="T40" s="0" t="n">
        <v>-1</v>
      </c>
      <c r="U40" s="0" t="n">
        <v>0.0081</v>
      </c>
      <c r="V40" s="0" t="s">
        <v>215</v>
      </c>
      <c r="W40" s="0" t="s">
        <v>46</v>
      </c>
      <c r="X40" s="0" t="s">
        <v>46</v>
      </c>
      <c r="Y40" s="0" t="s">
        <v>46</v>
      </c>
      <c r="Z40" s="0" t="s">
        <v>49</v>
      </c>
      <c r="AA40" s="0" t="s">
        <v>171</v>
      </c>
      <c r="AB40" s="0" t="s">
        <v>115</v>
      </c>
      <c r="AC40" s="0" t="s">
        <v>51</v>
      </c>
      <c r="AD40" s="0" t="s">
        <v>52</v>
      </c>
      <c r="AE40" s="0" t="s">
        <v>403</v>
      </c>
      <c r="AF40" s="0" t="s">
        <v>404</v>
      </c>
      <c r="AG40" s="0" t="s">
        <v>405</v>
      </c>
      <c r="AH40" s="0" t="s">
        <v>46</v>
      </c>
      <c r="AI40" s="0" t="s">
        <v>46</v>
      </c>
      <c r="AJ40" s="0" t="s">
        <v>46</v>
      </c>
      <c r="AK40" s="0" t="s">
        <v>46</v>
      </c>
      <c r="AL40" s="0" t="s">
        <v>46</v>
      </c>
    </row>
    <row r="41" customFormat="false" ht="15" hidden="false" customHeight="false" outlineLevel="0" collapsed="false">
      <c r="B41" s="0" t="str">
        <f aca="false">HYPERLINK("https://genome.ucsc.edu/cgi-bin/hgTracks?db=hg19&amp;position=chr3%3A121416813%2D121416813", "chr3:121416813")</f>
        <v>chr3:121416813</v>
      </c>
      <c r="C41" s="0" t="s">
        <v>309</v>
      </c>
      <c r="D41" s="0" t="n">
        <v>121416813</v>
      </c>
      <c r="E41" s="0" t="n">
        <v>121416813</v>
      </c>
      <c r="F41" s="0" t="s">
        <v>69</v>
      </c>
      <c r="G41" s="0" t="s">
        <v>57</v>
      </c>
      <c r="H41" s="0" t="s">
        <v>406</v>
      </c>
      <c r="I41" s="0" t="s">
        <v>311</v>
      </c>
      <c r="J41" s="0" t="s">
        <v>407</v>
      </c>
      <c r="K41" s="0" t="s">
        <v>46</v>
      </c>
      <c r="L41" s="0" t="str">
        <f aca="false">HYPERLINK("https://www.ncbi.nlm.nih.gov/snp/rs114420009", "rs114420009")</f>
        <v>rs114420009</v>
      </c>
      <c r="M41" s="0" t="str">
        <f aca="false">HYPERLINK("https://www.genecards.org/Search/Keyword?queryString=%5Baliases%5D(%20GOLGB1%20)&amp;keywords=GOLGB1", "GOLGB1")</f>
        <v>GOLGB1</v>
      </c>
      <c r="N41" s="0" t="s">
        <v>98</v>
      </c>
      <c r="O41" s="0" t="s">
        <v>99</v>
      </c>
      <c r="P41" s="0" t="s">
        <v>408</v>
      </c>
      <c r="Q41" s="0" t="n">
        <v>0.01642</v>
      </c>
      <c r="R41" s="0" t="n">
        <v>0.0139</v>
      </c>
      <c r="S41" s="0" t="n">
        <v>0.0151</v>
      </c>
      <c r="T41" s="0" t="n">
        <v>-1</v>
      </c>
      <c r="U41" s="0" t="n">
        <v>0.0114</v>
      </c>
      <c r="V41" s="0" t="s">
        <v>158</v>
      </c>
      <c r="W41" s="0" t="s">
        <v>46</v>
      </c>
      <c r="X41" s="0" t="s">
        <v>46</v>
      </c>
      <c r="Y41" s="0" t="s">
        <v>46</v>
      </c>
      <c r="Z41" s="0" t="s">
        <v>138</v>
      </c>
      <c r="AA41" s="0" t="s">
        <v>171</v>
      </c>
      <c r="AB41" s="0" t="s">
        <v>115</v>
      </c>
      <c r="AC41" s="0" t="s">
        <v>51</v>
      </c>
      <c r="AD41" s="0" t="s">
        <v>52</v>
      </c>
      <c r="AE41" s="0" t="s">
        <v>409</v>
      </c>
      <c r="AF41" s="0" t="s">
        <v>410</v>
      </c>
      <c r="AG41" s="0" t="s">
        <v>411</v>
      </c>
      <c r="AH41" s="0" t="s">
        <v>46</v>
      </c>
      <c r="AI41" s="0" t="s">
        <v>46</v>
      </c>
      <c r="AJ41" s="0" t="s">
        <v>46</v>
      </c>
      <c r="AK41" s="0" t="s">
        <v>46</v>
      </c>
      <c r="AL41" s="0" t="s">
        <v>46</v>
      </c>
    </row>
    <row r="42" customFormat="false" ht="15" hidden="false" customHeight="false" outlineLevel="0" collapsed="false">
      <c r="B42" s="0" t="str">
        <f aca="false">HYPERLINK("https://genome.ucsc.edu/cgi-bin/hgTracks?db=hg19&amp;position=chr5%3A122729025%2D122729025", "chr5:122729025")</f>
        <v>chr5:122729025</v>
      </c>
      <c r="C42" s="0" t="s">
        <v>109</v>
      </c>
      <c r="D42" s="0" t="n">
        <v>122729025</v>
      </c>
      <c r="E42" s="0" t="n">
        <v>122729025</v>
      </c>
      <c r="F42" s="0" t="s">
        <v>39</v>
      </c>
      <c r="G42" s="0" t="s">
        <v>40</v>
      </c>
      <c r="H42" s="0" t="s">
        <v>412</v>
      </c>
      <c r="I42" s="0" t="s">
        <v>413</v>
      </c>
      <c r="J42" s="0" t="s">
        <v>414</v>
      </c>
      <c r="K42" s="0" t="s">
        <v>46</v>
      </c>
      <c r="L42" s="0" t="str">
        <f aca="false">HYPERLINK("https://www.ncbi.nlm.nih.gov/snp/rs189429890", "rs189429890")</f>
        <v>rs189429890</v>
      </c>
      <c r="M42" s="0" t="str">
        <f aca="false">HYPERLINK("https://www.genecards.org/Search/Keyword?queryString=%5Baliases%5D(%20CEP120%20)&amp;keywords=CEP120", "CEP120")</f>
        <v>CEP120</v>
      </c>
      <c r="N42" s="0" t="s">
        <v>98</v>
      </c>
      <c r="O42" s="0" t="s">
        <v>99</v>
      </c>
      <c r="P42" s="0" t="s">
        <v>415</v>
      </c>
      <c r="Q42" s="0" t="n">
        <v>0.008621</v>
      </c>
      <c r="R42" s="0" t="n">
        <v>0.0099</v>
      </c>
      <c r="S42" s="0" t="n">
        <v>0.0081</v>
      </c>
      <c r="T42" s="0" t="n">
        <v>-1</v>
      </c>
      <c r="U42" s="0" t="n">
        <v>0.0134</v>
      </c>
      <c r="V42" s="0" t="s">
        <v>170</v>
      </c>
      <c r="W42" s="0" t="s">
        <v>46</v>
      </c>
      <c r="X42" s="0" t="s">
        <v>46</v>
      </c>
      <c r="Y42" s="0" t="s">
        <v>46</v>
      </c>
      <c r="Z42" s="0" t="s">
        <v>49</v>
      </c>
      <c r="AA42" s="0" t="s">
        <v>171</v>
      </c>
      <c r="AB42" s="0" t="s">
        <v>115</v>
      </c>
      <c r="AC42" s="0" t="s">
        <v>51</v>
      </c>
      <c r="AD42" s="0" t="s">
        <v>52</v>
      </c>
      <c r="AE42" s="0" t="s">
        <v>416</v>
      </c>
      <c r="AF42" s="0" t="s">
        <v>417</v>
      </c>
      <c r="AG42" s="0" t="s">
        <v>418</v>
      </c>
      <c r="AH42" s="0" t="s">
        <v>419</v>
      </c>
      <c r="AI42" s="0" t="s">
        <v>46</v>
      </c>
      <c r="AJ42" s="0" t="s">
        <v>46</v>
      </c>
      <c r="AK42" s="0" t="s">
        <v>46</v>
      </c>
      <c r="AL42" s="0" t="s">
        <v>46</v>
      </c>
    </row>
    <row r="43" customFormat="false" ht="15" hidden="false" customHeight="false" outlineLevel="0" collapsed="false">
      <c r="B43" s="0" t="str">
        <f aca="false">HYPERLINK("https://genome.ucsc.edu/cgi-bin/hgTracks?db=hg19&amp;position=chr5%3A132435253%2D132435253", "chr5:132435253")</f>
        <v>chr5:132435253</v>
      </c>
      <c r="C43" s="0" t="s">
        <v>109</v>
      </c>
      <c r="D43" s="0" t="n">
        <v>132435253</v>
      </c>
      <c r="E43" s="0" t="n">
        <v>132435253</v>
      </c>
      <c r="F43" s="0" t="s">
        <v>39</v>
      </c>
      <c r="G43" s="0" t="s">
        <v>69</v>
      </c>
      <c r="H43" s="0" t="s">
        <v>420</v>
      </c>
      <c r="I43" s="0" t="s">
        <v>421</v>
      </c>
      <c r="J43" s="0" t="s">
        <v>422</v>
      </c>
      <c r="K43" s="0" t="s">
        <v>46</v>
      </c>
      <c r="L43" s="0" t="str">
        <f aca="false">HYPERLINK("https://www.ncbi.nlm.nih.gov/snp/rs61755723", "rs61755723")</f>
        <v>rs61755723</v>
      </c>
      <c r="M43" s="0" t="str">
        <f aca="false">HYPERLINK("https://www.genecards.org/Search/Keyword?queryString=%5Baliases%5D(%20HSPA4%20)&amp;keywords=HSPA4", "HSPA4")</f>
        <v>HSPA4</v>
      </c>
      <c r="N43" s="0" t="s">
        <v>98</v>
      </c>
      <c r="O43" s="0" t="s">
        <v>99</v>
      </c>
      <c r="P43" s="0" t="s">
        <v>423</v>
      </c>
      <c r="Q43" s="0" t="n">
        <v>0.022727</v>
      </c>
      <c r="R43" s="0" t="n">
        <v>0.0086</v>
      </c>
      <c r="S43" s="0" t="n">
        <v>0.0073</v>
      </c>
      <c r="T43" s="0" t="n">
        <v>-1</v>
      </c>
      <c r="U43" s="0" t="n">
        <v>0.0089</v>
      </c>
      <c r="V43" s="0" t="s">
        <v>158</v>
      </c>
      <c r="W43" s="0" t="s">
        <v>46</v>
      </c>
      <c r="X43" s="0" t="s">
        <v>46</v>
      </c>
      <c r="Y43" s="0" t="s">
        <v>46</v>
      </c>
      <c r="Z43" s="0" t="s">
        <v>159</v>
      </c>
      <c r="AA43" s="0" t="s">
        <v>171</v>
      </c>
      <c r="AB43" s="0" t="s">
        <v>115</v>
      </c>
      <c r="AC43" s="0" t="s">
        <v>51</v>
      </c>
      <c r="AD43" s="0" t="s">
        <v>52</v>
      </c>
      <c r="AE43" s="0" t="s">
        <v>424</v>
      </c>
      <c r="AF43" s="0" t="s">
        <v>425</v>
      </c>
      <c r="AG43" s="0" t="s">
        <v>46</v>
      </c>
      <c r="AH43" s="0" t="s">
        <v>46</v>
      </c>
      <c r="AI43" s="0" t="s">
        <v>46</v>
      </c>
      <c r="AJ43" s="0" t="s">
        <v>46</v>
      </c>
      <c r="AK43" s="0" t="s">
        <v>46</v>
      </c>
      <c r="AL43" s="0" t="s">
        <v>46</v>
      </c>
    </row>
    <row r="44" customFormat="false" ht="15" hidden="false" customHeight="false" outlineLevel="0" collapsed="false">
      <c r="B44" s="0" t="str">
        <f aca="false">HYPERLINK("https://genome.ucsc.edu/cgi-bin/hgTracks?db=hg19&amp;position=chr5%3A176893942%2D176893942", "chr5:176893942")</f>
        <v>chr5:176893942</v>
      </c>
      <c r="C44" s="0" t="s">
        <v>109</v>
      </c>
      <c r="D44" s="0" t="n">
        <v>176893942</v>
      </c>
      <c r="E44" s="0" t="n">
        <v>176893942</v>
      </c>
      <c r="F44" s="0" t="s">
        <v>39</v>
      </c>
      <c r="G44" s="0" t="s">
        <v>40</v>
      </c>
      <c r="H44" s="0" t="s">
        <v>426</v>
      </c>
      <c r="I44" s="0" t="s">
        <v>427</v>
      </c>
      <c r="J44" s="0" t="s">
        <v>428</v>
      </c>
      <c r="K44" s="0" t="s">
        <v>46</v>
      </c>
      <c r="L44" s="0" t="str">
        <f aca="false">HYPERLINK("https://www.ncbi.nlm.nih.gov/snp/rs146597348", "rs146597348")</f>
        <v>rs146597348</v>
      </c>
      <c r="M44" s="0" t="str">
        <f aca="false">HYPERLINK("https://www.genecards.org/Search/Keyword?queryString=%5Baliases%5D(%20DBN1%20)&amp;keywords=DBN1", "DBN1")</f>
        <v>DBN1</v>
      </c>
      <c r="N44" s="0" t="s">
        <v>98</v>
      </c>
      <c r="O44" s="0" t="s">
        <v>99</v>
      </c>
      <c r="P44" s="0" t="s">
        <v>429</v>
      </c>
      <c r="Q44" s="0" t="n">
        <v>0.013</v>
      </c>
      <c r="R44" s="0" t="n">
        <v>0.0133</v>
      </c>
      <c r="S44" s="0" t="n">
        <v>0.013</v>
      </c>
      <c r="T44" s="0" t="n">
        <v>-1</v>
      </c>
      <c r="U44" s="0" t="n">
        <v>0.0133</v>
      </c>
      <c r="V44" s="0" t="s">
        <v>148</v>
      </c>
      <c r="W44" s="0" t="s">
        <v>46</v>
      </c>
      <c r="X44" s="0" t="s">
        <v>46</v>
      </c>
      <c r="Y44" s="0" t="s">
        <v>46</v>
      </c>
      <c r="Z44" s="0" t="s">
        <v>138</v>
      </c>
      <c r="AA44" s="0" t="s">
        <v>171</v>
      </c>
      <c r="AB44" s="0" t="s">
        <v>115</v>
      </c>
      <c r="AC44" s="0" t="s">
        <v>51</v>
      </c>
      <c r="AD44" s="0" t="s">
        <v>52</v>
      </c>
      <c r="AE44" s="0" t="s">
        <v>430</v>
      </c>
      <c r="AF44" s="0" t="s">
        <v>431</v>
      </c>
      <c r="AG44" s="0" t="s">
        <v>432</v>
      </c>
      <c r="AH44" s="0" t="s">
        <v>46</v>
      </c>
      <c r="AI44" s="0" t="s">
        <v>46</v>
      </c>
      <c r="AJ44" s="0" t="s">
        <v>46</v>
      </c>
      <c r="AK44" s="0" t="s">
        <v>46</v>
      </c>
      <c r="AL44" s="0" t="s">
        <v>46</v>
      </c>
    </row>
    <row r="45" customFormat="false" ht="15" hidden="false" customHeight="false" outlineLevel="0" collapsed="false">
      <c r="B45" s="0" t="str">
        <f aca="false">HYPERLINK("https://genome.ucsc.edu/cgi-bin/hgTracks?db=hg19&amp;position=chr6%3A121402024%2D121402024", "chr6:121402024")</f>
        <v>chr6:121402024</v>
      </c>
      <c r="C45" s="0" t="s">
        <v>164</v>
      </c>
      <c r="D45" s="0" t="n">
        <v>121402024</v>
      </c>
      <c r="E45" s="0" t="n">
        <v>121402024</v>
      </c>
      <c r="F45" s="0" t="s">
        <v>69</v>
      </c>
      <c r="G45" s="0" t="s">
        <v>57</v>
      </c>
      <c r="H45" s="0" t="s">
        <v>433</v>
      </c>
      <c r="I45" s="0" t="s">
        <v>434</v>
      </c>
      <c r="J45" s="0" t="s">
        <v>435</v>
      </c>
      <c r="K45" s="0" t="s">
        <v>46</v>
      </c>
      <c r="L45" s="0" t="str">
        <f aca="false">HYPERLINK("https://www.ncbi.nlm.nih.gov/snp/rs200000443", "rs200000443")</f>
        <v>rs200000443</v>
      </c>
      <c r="M45" s="0" t="str">
        <f aca="false">HYPERLINK("https://www.genecards.org/Search/Keyword?queryString=%5Baliases%5D(%20C6orf170%20)%20OR%20%5Baliases%5D(%20TBC1D32%20)&amp;keywords=C6orf170,TBC1D32", "C6orf170;TBC1D32")</f>
        <v>C6orf170;TBC1D32</v>
      </c>
      <c r="N45" s="0" t="s">
        <v>98</v>
      </c>
      <c r="O45" s="0" t="s">
        <v>99</v>
      </c>
      <c r="P45" s="0" t="s">
        <v>436</v>
      </c>
      <c r="Q45" s="0" t="n">
        <v>0.011</v>
      </c>
      <c r="R45" s="0" t="n">
        <v>0.0145</v>
      </c>
      <c r="S45" s="0" t="n">
        <v>0.0116</v>
      </c>
      <c r="T45" s="0" t="n">
        <v>-1</v>
      </c>
      <c r="U45" s="0" t="n">
        <v>0.0245</v>
      </c>
      <c r="V45" s="0" t="s">
        <v>215</v>
      </c>
      <c r="W45" s="0" t="s">
        <v>46</v>
      </c>
      <c r="X45" s="0" t="s">
        <v>46</v>
      </c>
      <c r="Y45" s="0" t="s">
        <v>46</v>
      </c>
      <c r="Z45" s="0" t="s">
        <v>159</v>
      </c>
      <c r="AA45" s="0" t="s">
        <v>171</v>
      </c>
      <c r="AB45" s="0" t="s">
        <v>115</v>
      </c>
      <c r="AC45" s="0" t="s">
        <v>51</v>
      </c>
      <c r="AD45" s="0" t="s">
        <v>437</v>
      </c>
      <c r="AE45" s="0" t="s">
        <v>438</v>
      </c>
      <c r="AF45" s="0" t="s">
        <v>439</v>
      </c>
      <c r="AG45" s="0" t="s">
        <v>440</v>
      </c>
      <c r="AH45" s="0" t="s">
        <v>46</v>
      </c>
      <c r="AI45" s="0" t="s">
        <v>46</v>
      </c>
      <c r="AJ45" s="0" t="s">
        <v>46</v>
      </c>
      <c r="AK45" s="0" t="s">
        <v>46</v>
      </c>
      <c r="AL45" s="0" t="s">
        <v>46</v>
      </c>
    </row>
    <row r="46" customFormat="false" ht="15" hidden="false" customHeight="false" outlineLevel="0" collapsed="false">
      <c r="B46" s="0" t="str">
        <f aca="false">HYPERLINK("https://genome.ucsc.edu/cgi-bin/hgTracks?db=hg19&amp;position=chr7%3A151042447%2D151042447", "chr7:151042447")</f>
        <v>chr7:151042447</v>
      </c>
      <c r="C46" s="0" t="s">
        <v>253</v>
      </c>
      <c r="D46" s="0" t="n">
        <v>151042447</v>
      </c>
      <c r="E46" s="0" t="n">
        <v>151042447</v>
      </c>
      <c r="F46" s="0" t="s">
        <v>69</v>
      </c>
      <c r="G46" s="0" t="s">
        <v>40</v>
      </c>
      <c r="H46" s="0" t="s">
        <v>441</v>
      </c>
      <c r="I46" s="0" t="s">
        <v>178</v>
      </c>
      <c r="J46" s="0" t="s">
        <v>442</v>
      </c>
      <c r="K46" s="0" t="s">
        <v>46</v>
      </c>
      <c r="L46" s="0" t="str">
        <f aca="false">HYPERLINK("https://www.ncbi.nlm.nih.gov/snp/rs61734185", "rs61734185")</f>
        <v>rs61734185</v>
      </c>
      <c r="M46" s="0" t="str">
        <f aca="false">HYPERLINK("https://www.genecards.org/Search/Keyword?queryString=%5Baliases%5D(%20NUB1%20)&amp;keywords=NUB1", "NUB1")</f>
        <v>NUB1</v>
      </c>
      <c r="N46" s="0" t="s">
        <v>98</v>
      </c>
      <c r="O46" s="0" t="s">
        <v>99</v>
      </c>
      <c r="P46" s="0" t="s">
        <v>443</v>
      </c>
      <c r="Q46" s="0" t="n">
        <v>0.0122</v>
      </c>
      <c r="R46" s="0" t="n">
        <v>0.0091</v>
      </c>
      <c r="S46" s="0" t="n">
        <v>0.0096</v>
      </c>
      <c r="T46" s="0" t="n">
        <v>-1</v>
      </c>
      <c r="U46" s="0" t="n">
        <v>0.0082</v>
      </c>
      <c r="V46" s="0" t="s">
        <v>314</v>
      </c>
      <c r="W46" s="0" t="s">
        <v>46</v>
      </c>
      <c r="X46" s="0" t="s">
        <v>46</v>
      </c>
      <c r="Y46" s="0" t="s">
        <v>46</v>
      </c>
      <c r="Z46" s="0" t="s">
        <v>102</v>
      </c>
      <c r="AA46" s="0" t="s">
        <v>171</v>
      </c>
      <c r="AB46" s="0" t="s">
        <v>115</v>
      </c>
      <c r="AC46" s="0" t="s">
        <v>51</v>
      </c>
      <c r="AD46" s="0" t="s">
        <v>52</v>
      </c>
      <c r="AE46" s="0" t="s">
        <v>444</v>
      </c>
      <c r="AF46" s="0" t="s">
        <v>445</v>
      </c>
      <c r="AG46" s="0" t="s">
        <v>446</v>
      </c>
      <c r="AH46" s="0" t="s">
        <v>46</v>
      </c>
      <c r="AI46" s="0" t="s">
        <v>46</v>
      </c>
      <c r="AJ46" s="0" t="s">
        <v>46</v>
      </c>
      <c r="AK46" s="0" t="s">
        <v>46</v>
      </c>
      <c r="AL46" s="0" t="s">
        <v>46</v>
      </c>
    </row>
    <row r="47" customFormat="false" ht="15" hidden="false" customHeight="false" outlineLevel="0" collapsed="false">
      <c r="B47" s="0" t="str">
        <f aca="false">HYPERLINK("https://genome.ucsc.edu/cgi-bin/hgTracks?db=hg19&amp;position=chr1%3A1007448%2D1007448", "chr1:1007448")</f>
        <v>chr1:1007448</v>
      </c>
      <c r="C47" s="0" t="s">
        <v>56</v>
      </c>
      <c r="D47" s="0" t="n">
        <v>1007448</v>
      </c>
      <c r="E47" s="0" t="n">
        <v>1007448</v>
      </c>
      <c r="F47" s="0" t="s">
        <v>69</v>
      </c>
      <c r="G47" s="0" t="s">
        <v>40</v>
      </c>
      <c r="H47" s="0" t="s">
        <v>447</v>
      </c>
      <c r="I47" s="0" t="s">
        <v>133</v>
      </c>
      <c r="J47" s="0" t="s">
        <v>448</v>
      </c>
      <c r="K47" s="0" t="s">
        <v>46</v>
      </c>
      <c r="L47" s="0" t="str">
        <f aca="false">HYPERLINK("https://www.ncbi.nlm.nih.gov/snp/rs540345782", "rs540345782")</f>
        <v>rs540345782</v>
      </c>
      <c r="M47" s="0" t="str">
        <f aca="false">HYPERLINK("https://www.genecards.org/Search/Keyword?queryString=%5Baliases%5D(%20RNF223%20)&amp;keywords=RNF223", "RNF223")</f>
        <v>RNF223</v>
      </c>
      <c r="N47" s="0" t="s">
        <v>98</v>
      </c>
      <c r="O47" s="0" t="s">
        <v>99</v>
      </c>
      <c r="P47" s="0" t="s">
        <v>449</v>
      </c>
      <c r="Q47" s="0" t="n">
        <v>0.0043</v>
      </c>
      <c r="R47" s="0" t="n">
        <v>0.0025</v>
      </c>
      <c r="S47" s="0" t="n">
        <v>0.0018</v>
      </c>
      <c r="T47" s="0" t="n">
        <v>-1</v>
      </c>
      <c r="U47" s="0" t="n">
        <v>0.0007</v>
      </c>
      <c r="V47" s="0" t="s">
        <v>314</v>
      </c>
      <c r="W47" s="0" t="s">
        <v>46</v>
      </c>
      <c r="X47" s="0" t="s">
        <v>46</v>
      </c>
      <c r="Y47" s="0" t="s">
        <v>46</v>
      </c>
      <c r="Z47" s="0" t="s">
        <v>49</v>
      </c>
      <c r="AA47" s="0" t="s">
        <v>171</v>
      </c>
      <c r="AB47" s="0" t="s">
        <v>46</v>
      </c>
      <c r="AC47" s="0" t="s">
        <v>51</v>
      </c>
      <c r="AD47" s="0" t="s">
        <v>52</v>
      </c>
      <c r="AE47" s="0" t="s">
        <v>46</v>
      </c>
      <c r="AF47" s="0" t="s">
        <v>450</v>
      </c>
      <c r="AG47" s="0" t="s">
        <v>46</v>
      </c>
      <c r="AH47" s="0" t="s">
        <v>46</v>
      </c>
      <c r="AI47" s="0" t="s">
        <v>46</v>
      </c>
      <c r="AJ47" s="0" t="s">
        <v>46</v>
      </c>
      <c r="AK47" s="0" t="s">
        <v>46</v>
      </c>
      <c r="AL47" s="0" t="s">
        <v>46</v>
      </c>
    </row>
    <row r="48" customFormat="false" ht="15" hidden="false" customHeight="false" outlineLevel="0" collapsed="false">
      <c r="B48" s="0" t="str">
        <f aca="false">HYPERLINK("https://genome.ucsc.edu/cgi-bin/hgTracks?db=hg19&amp;position=chr1%3A1232004%2D1232004", "chr1:1232004")</f>
        <v>chr1:1232004</v>
      </c>
      <c r="C48" s="0" t="s">
        <v>56</v>
      </c>
      <c r="D48" s="0" t="n">
        <v>1232004</v>
      </c>
      <c r="E48" s="0" t="n">
        <v>1232004</v>
      </c>
      <c r="F48" s="0" t="s">
        <v>69</v>
      </c>
      <c r="G48" s="0" t="s">
        <v>57</v>
      </c>
      <c r="H48" s="0" t="s">
        <v>451</v>
      </c>
      <c r="I48" s="0" t="s">
        <v>452</v>
      </c>
      <c r="J48" s="0" t="s">
        <v>453</v>
      </c>
      <c r="K48" s="0" t="s">
        <v>46</v>
      </c>
      <c r="L48" s="0" t="str">
        <f aca="false">HYPERLINK("https://www.ncbi.nlm.nih.gov/snp/rs149746396", "rs149746396")</f>
        <v>rs149746396</v>
      </c>
      <c r="M48" s="0" t="str">
        <f aca="false">HYPERLINK("https://www.genecards.org/Search/Keyword?queryString=%5Baliases%5D(%20ACAP3%20)&amp;keywords=ACAP3", "ACAP3")</f>
        <v>ACAP3</v>
      </c>
      <c r="N48" s="0" t="s">
        <v>98</v>
      </c>
      <c r="O48" s="0" t="s">
        <v>99</v>
      </c>
      <c r="P48" s="0" t="s">
        <v>454</v>
      </c>
      <c r="Q48" s="0" t="n">
        <v>0.0082</v>
      </c>
      <c r="R48" s="0" t="n">
        <v>0.0104</v>
      </c>
      <c r="S48" s="0" t="n">
        <v>0.0085</v>
      </c>
      <c r="T48" s="0" t="n">
        <v>-1</v>
      </c>
      <c r="U48" s="0" t="n">
        <v>0.0162</v>
      </c>
      <c r="V48" s="0" t="s">
        <v>101</v>
      </c>
      <c r="W48" s="0" t="s">
        <v>46</v>
      </c>
      <c r="X48" s="0" t="s">
        <v>46</v>
      </c>
      <c r="Y48" s="0" t="s">
        <v>46</v>
      </c>
      <c r="Z48" s="0" t="s">
        <v>138</v>
      </c>
      <c r="AA48" s="0" t="s">
        <v>171</v>
      </c>
      <c r="AB48" s="0" t="s">
        <v>46</v>
      </c>
      <c r="AC48" s="0" t="s">
        <v>51</v>
      </c>
      <c r="AD48" s="0" t="s">
        <v>52</v>
      </c>
      <c r="AE48" s="0" t="s">
        <v>455</v>
      </c>
      <c r="AF48" s="0" t="s">
        <v>456</v>
      </c>
      <c r="AG48" s="0" t="s">
        <v>457</v>
      </c>
      <c r="AH48" s="0" t="s">
        <v>46</v>
      </c>
      <c r="AI48" s="0" t="s">
        <v>46</v>
      </c>
      <c r="AJ48" s="0" t="s">
        <v>46</v>
      </c>
      <c r="AK48" s="0" t="s">
        <v>46</v>
      </c>
      <c r="AL48" s="0" t="s">
        <v>46</v>
      </c>
    </row>
    <row r="49" customFormat="false" ht="15" hidden="false" customHeight="false" outlineLevel="0" collapsed="false">
      <c r="B49" s="0" t="str">
        <f aca="false">HYPERLINK("https://genome.ucsc.edu/cgi-bin/hgTracks?db=hg19&amp;position=chr1%3A3703589%2D3703589", "chr1:3703589")</f>
        <v>chr1:3703589</v>
      </c>
      <c r="C49" s="0" t="s">
        <v>56</v>
      </c>
      <c r="D49" s="0" t="n">
        <v>3703589</v>
      </c>
      <c r="E49" s="0" t="n">
        <v>3703589</v>
      </c>
      <c r="F49" s="0" t="s">
        <v>39</v>
      </c>
      <c r="G49" s="0" t="s">
        <v>40</v>
      </c>
      <c r="H49" s="0" t="s">
        <v>458</v>
      </c>
      <c r="I49" s="0" t="s">
        <v>273</v>
      </c>
      <c r="J49" s="0" t="s">
        <v>459</v>
      </c>
      <c r="K49" s="0" t="s">
        <v>46</v>
      </c>
      <c r="L49" s="0" t="str">
        <f aca="false">HYPERLINK("https://www.ncbi.nlm.nih.gov/snp/rs138729139", "rs138729139")</f>
        <v>rs138729139</v>
      </c>
      <c r="M49" s="0" t="str">
        <f aca="false">HYPERLINK("https://www.genecards.org/Search/Keyword?queryString=%5Baliases%5D(%20LRRC47%20)&amp;keywords=LRRC47", "LRRC47")</f>
        <v>LRRC47</v>
      </c>
      <c r="N49" s="0" t="s">
        <v>98</v>
      </c>
      <c r="O49" s="0" t="s">
        <v>99</v>
      </c>
      <c r="P49" s="0" t="s">
        <v>460</v>
      </c>
      <c r="Q49" s="0" t="n">
        <v>0.006</v>
      </c>
      <c r="R49" s="0" t="n">
        <v>0.0041</v>
      </c>
      <c r="S49" s="0" t="n">
        <v>0.0045</v>
      </c>
      <c r="T49" s="0" t="n">
        <v>-1</v>
      </c>
      <c r="U49" s="0" t="n">
        <v>0.0025</v>
      </c>
      <c r="V49" s="0" t="s">
        <v>194</v>
      </c>
      <c r="W49" s="0" t="s">
        <v>46</v>
      </c>
      <c r="X49" s="0" t="s">
        <v>46</v>
      </c>
      <c r="Y49" s="0" t="s">
        <v>46</v>
      </c>
      <c r="Z49" s="0" t="s">
        <v>138</v>
      </c>
      <c r="AA49" s="0" t="s">
        <v>171</v>
      </c>
      <c r="AB49" s="0" t="s">
        <v>46</v>
      </c>
      <c r="AC49" s="0" t="s">
        <v>51</v>
      </c>
      <c r="AD49" s="0" t="s">
        <v>52</v>
      </c>
      <c r="AE49" s="0" t="s">
        <v>461</v>
      </c>
      <c r="AF49" s="0" t="s">
        <v>462</v>
      </c>
      <c r="AG49" s="0" t="s">
        <v>46</v>
      </c>
      <c r="AH49" s="0" t="s">
        <v>46</v>
      </c>
      <c r="AI49" s="0" t="s">
        <v>46</v>
      </c>
      <c r="AJ49" s="0" t="s">
        <v>46</v>
      </c>
      <c r="AK49" s="0" t="s">
        <v>46</v>
      </c>
      <c r="AL49" s="0" t="s">
        <v>46</v>
      </c>
    </row>
    <row r="50" customFormat="false" ht="15" hidden="false" customHeight="false" outlineLevel="0" collapsed="false">
      <c r="B50" s="0" t="str">
        <f aca="false">HYPERLINK("https://genome.ucsc.edu/cgi-bin/hgTracks?db=hg19&amp;position=chr1%3A9073605%2D9073605", "chr1:9073605")</f>
        <v>chr1:9073605</v>
      </c>
      <c r="C50" s="0" t="s">
        <v>56</v>
      </c>
      <c r="D50" s="0" t="n">
        <v>9073605</v>
      </c>
      <c r="E50" s="0" t="n">
        <v>9073605</v>
      </c>
      <c r="F50" s="0" t="s">
        <v>69</v>
      </c>
      <c r="G50" s="0" t="s">
        <v>39</v>
      </c>
      <c r="H50" s="0" t="s">
        <v>463</v>
      </c>
      <c r="I50" s="0" t="s">
        <v>464</v>
      </c>
      <c r="J50" s="0" t="s">
        <v>465</v>
      </c>
      <c r="K50" s="0" t="s">
        <v>46</v>
      </c>
      <c r="L50" s="0" t="str">
        <f aca="false">HYPERLINK("https://www.ncbi.nlm.nih.gov/snp/rs766955744", "rs766955744")</f>
        <v>rs766955744</v>
      </c>
      <c r="M50" s="0" t="str">
        <f aca="false">HYPERLINK("https://www.genecards.org/Search/Keyword?queryString=%5Baliases%5D(%20SLC2A7%20)&amp;keywords=SLC2A7", "SLC2A7")</f>
        <v>SLC2A7</v>
      </c>
      <c r="N50" s="0" t="s">
        <v>98</v>
      </c>
      <c r="O50" s="0" t="s">
        <v>99</v>
      </c>
      <c r="P50" s="0" t="s">
        <v>466</v>
      </c>
      <c r="Q50" s="0" t="n">
        <v>6.5E-006</v>
      </c>
      <c r="R50" s="0" t="n">
        <v>-1</v>
      </c>
      <c r="S50" s="0" t="n">
        <v>-1</v>
      </c>
      <c r="T50" s="0" t="n">
        <v>-1</v>
      </c>
      <c r="U50" s="0" t="n">
        <v>-1</v>
      </c>
      <c r="V50" s="0" t="s">
        <v>230</v>
      </c>
      <c r="W50" s="0" t="s">
        <v>46</v>
      </c>
      <c r="X50" s="0" t="s">
        <v>46</v>
      </c>
      <c r="Y50" s="0" t="s">
        <v>46</v>
      </c>
      <c r="Z50" s="0" t="s">
        <v>49</v>
      </c>
      <c r="AA50" s="0" t="s">
        <v>171</v>
      </c>
      <c r="AB50" s="0" t="s">
        <v>46</v>
      </c>
      <c r="AC50" s="0" t="s">
        <v>51</v>
      </c>
      <c r="AD50" s="0" t="s">
        <v>52</v>
      </c>
      <c r="AE50" s="0" t="s">
        <v>467</v>
      </c>
      <c r="AF50" s="0" t="s">
        <v>468</v>
      </c>
      <c r="AG50" s="0" t="s">
        <v>469</v>
      </c>
      <c r="AH50" s="0" t="s">
        <v>46</v>
      </c>
      <c r="AI50" s="0" t="s">
        <v>46</v>
      </c>
      <c r="AJ50" s="0" t="s">
        <v>46</v>
      </c>
      <c r="AK50" s="0" t="s">
        <v>46</v>
      </c>
      <c r="AL50" s="0" t="s">
        <v>46</v>
      </c>
    </row>
    <row r="51" customFormat="false" ht="15" hidden="false" customHeight="false" outlineLevel="0" collapsed="false">
      <c r="B51" s="0" t="str">
        <f aca="false">HYPERLINK("https://genome.ucsc.edu/cgi-bin/hgTracks?db=hg19&amp;position=chr1%3A9795966%2D9795966", "chr1:9795966")</f>
        <v>chr1:9795966</v>
      </c>
      <c r="C51" s="0" t="s">
        <v>56</v>
      </c>
      <c r="D51" s="0" t="n">
        <v>9795966</v>
      </c>
      <c r="E51" s="0" t="n">
        <v>9795966</v>
      </c>
      <c r="F51" s="0" t="s">
        <v>39</v>
      </c>
      <c r="G51" s="0" t="s">
        <v>40</v>
      </c>
      <c r="H51" s="0" t="s">
        <v>470</v>
      </c>
      <c r="I51" s="0" t="s">
        <v>471</v>
      </c>
      <c r="J51" s="0" t="s">
        <v>472</v>
      </c>
      <c r="K51" s="0" t="s">
        <v>46</v>
      </c>
      <c r="L51" s="0" t="str">
        <f aca="false">HYPERLINK("https://www.ncbi.nlm.nih.gov/snp/rs201640412", "rs201640412")</f>
        <v>rs201640412</v>
      </c>
      <c r="M51" s="0" t="str">
        <f aca="false">HYPERLINK("https://www.genecards.org/Search/Keyword?queryString=%5Baliases%5D(%20CLSTN1%20)&amp;keywords=CLSTN1", "CLSTN1")</f>
        <v>CLSTN1</v>
      </c>
      <c r="N51" s="0" t="s">
        <v>98</v>
      </c>
      <c r="O51" s="0" t="s">
        <v>99</v>
      </c>
      <c r="P51" s="0" t="s">
        <v>473</v>
      </c>
      <c r="Q51" s="0" t="n">
        <v>0.010101</v>
      </c>
      <c r="R51" s="0" t="n">
        <v>-1</v>
      </c>
      <c r="S51" s="0" t="n">
        <v>-1</v>
      </c>
      <c r="T51" s="0" t="n">
        <v>-1</v>
      </c>
      <c r="U51" s="0" t="n">
        <v>-1</v>
      </c>
      <c r="V51" s="0" t="s">
        <v>257</v>
      </c>
      <c r="W51" s="0" t="s">
        <v>46</v>
      </c>
      <c r="X51" s="0" t="s">
        <v>46</v>
      </c>
      <c r="Y51" s="0" t="s">
        <v>46</v>
      </c>
      <c r="Z51" s="0" t="s">
        <v>102</v>
      </c>
      <c r="AA51" s="0" t="s">
        <v>171</v>
      </c>
      <c r="AB51" s="0" t="s">
        <v>46</v>
      </c>
      <c r="AC51" s="0" t="s">
        <v>51</v>
      </c>
      <c r="AD51" s="0" t="s">
        <v>52</v>
      </c>
      <c r="AE51" s="0" t="s">
        <v>474</v>
      </c>
      <c r="AF51" s="0" t="s">
        <v>475</v>
      </c>
      <c r="AG51" s="0" t="s">
        <v>476</v>
      </c>
      <c r="AH51" s="0" t="s">
        <v>46</v>
      </c>
      <c r="AI51" s="0" t="s">
        <v>46</v>
      </c>
      <c r="AJ51" s="0" t="s">
        <v>46</v>
      </c>
      <c r="AK51" s="0" t="s">
        <v>46</v>
      </c>
      <c r="AL51" s="0" t="s">
        <v>46</v>
      </c>
    </row>
    <row r="52" customFormat="false" ht="15" hidden="false" customHeight="false" outlineLevel="0" collapsed="false">
      <c r="B52" s="0" t="str">
        <f aca="false">HYPERLINK("https://genome.ucsc.edu/cgi-bin/hgTracks?db=hg19&amp;position=chr1%3A11141293%2D11141293", "chr1:11141293")</f>
        <v>chr1:11141293</v>
      </c>
      <c r="C52" s="0" t="s">
        <v>56</v>
      </c>
      <c r="D52" s="0" t="n">
        <v>11141293</v>
      </c>
      <c r="E52" s="0" t="n">
        <v>11141293</v>
      </c>
      <c r="F52" s="0" t="s">
        <v>69</v>
      </c>
      <c r="G52" s="0" t="s">
        <v>40</v>
      </c>
      <c r="H52" s="0" t="s">
        <v>477</v>
      </c>
      <c r="I52" s="0" t="s">
        <v>361</v>
      </c>
      <c r="J52" s="0" t="s">
        <v>478</v>
      </c>
      <c r="K52" s="0" t="s">
        <v>46</v>
      </c>
      <c r="L52" s="0" t="str">
        <f aca="false">HYPERLINK("https://www.ncbi.nlm.nih.gov/snp/rs755859943", "rs755859943")</f>
        <v>rs755859943</v>
      </c>
      <c r="M52" s="0" t="str">
        <f aca="false">HYPERLINK("https://www.genecards.org/Search/Keyword?queryString=%5Baliases%5D(%20EXOSC10%20)&amp;keywords=EXOSC10", "EXOSC10")</f>
        <v>EXOSC10</v>
      </c>
      <c r="N52" s="0" t="s">
        <v>98</v>
      </c>
      <c r="O52" s="0" t="s">
        <v>99</v>
      </c>
      <c r="P52" s="0" t="s">
        <v>479</v>
      </c>
      <c r="Q52" s="0" t="n">
        <v>0.0006</v>
      </c>
      <c r="R52" s="0" t="n">
        <v>0.0009</v>
      </c>
      <c r="S52" s="0" t="n">
        <v>0.0007</v>
      </c>
      <c r="T52" s="0" t="n">
        <v>-1</v>
      </c>
      <c r="U52" s="0" t="n">
        <v>0.0016</v>
      </c>
      <c r="V52" s="0" t="s">
        <v>480</v>
      </c>
      <c r="W52" s="0" t="s">
        <v>46</v>
      </c>
      <c r="X52" s="0" t="s">
        <v>46</v>
      </c>
      <c r="Y52" s="0" t="s">
        <v>46</v>
      </c>
      <c r="Z52" s="0" t="s">
        <v>481</v>
      </c>
      <c r="AA52" s="0" t="s">
        <v>171</v>
      </c>
      <c r="AB52" s="0" t="s">
        <v>46</v>
      </c>
      <c r="AC52" s="0" t="s">
        <v>51</v>
      </c>
      <c r="AD52" s="0" t="s">
        <v>52</v>
      </c>
      <c r="AE52" s="0" t="s">
        <v>482</v>
      </c>
      <c r="AF52" s="0" t="s">
        <v>483</v>
      </c>
      <c r="AG52" s="0" t="s">
        <v>484</v>
      </c>
      <c r="AH52" s="0" t="s">
        <v>46</v>
      </c>
      <c r="AI52" s="0" t="s">
        <v>46</v>
      </c>
      <c r="AJ52" s="0" t="s">
        <v>46</v>
      </c>
      <c r="AK52" s="0" t="s">
        <v>46</v>
      </c>
      <c r="AL52" s="0" t="s">
        <v>46</v>
      </c>
    </row>
    <row r="53" customFormat="false" ht="15" hidden="false" customHeight="false" outlineLevel="0" collapsed="false">
      <c r="B53" s="0" t="str">
        <f aca="false">HYPERLINK("https://genome.ucsc.edu/cgi-bin/hgTracks?db=hg19&amp;position=chr1%3A17681143%2D17681143", "chr1:17681143")</f>
        <v>chr1:17681143</v>
      </c>
      <c r="C53" s="0" t="s">
        <v>56</v>
      </c>
      <c r="D53" s="0" t="n">
        <v>17681143</v>
      </c>
      <c r="E53" s="0" t="n">
        <v>17681143</v>
      </c>
      <c r="F53" s="0" t="s">
        <v>39</v>
      </c>
      <c r="G53" s="0" t="s">
        <v>40</v>
      </c>
      <c r="H53" s="0" t="s">
        <v>485</v>
      </c>
      <c r="I53" s="0" t="s">
        <v>486</v>
      </c>
      <c r="J53" s="0" t="s">
        <v>487</v>
      </c>
      <c r="K53" s="0" t="s">
        <v>46</v>
      </c>
      <c r="L53" s="0" t="str">
        <f aca="false">HYPERLINK("https://www.ncbi.nlm.nih.gov/snp/rs150896296", "rs150896296")</f>
        <v>rs150896296</v>
      </c>
      <c r="M53" s="0" t="str">
        <f aca="false">HYPERLINK("https://www.genecards.org/Search/Keyword?queryString=%5Baliases%5D(%20PADI4%20)&amp;keywords=PADI4", "PADI4")</f>
        <v>PADI4</v>
      </c>
      <c r="N53" s="0" t="s">
        <v>98</v>
      </c>
      <c r="O53" s="0" t="s">
        <v>99</v>
      </c>
      <c r="P53" s="0" t="s">
        <v>488</v>
      </c>
      <c r="Q53" s="0" t="n">
        <v>0.003067</v>
      </c>
      <c r="R53" s="0" t="n">
        <v>0.0013</v>
      </c>
      <c r="S53" s="0" t="n">
        <v>0.0013</v>
      </c>
      <c r="T53" s="0" t="n">
        <v>-1</v>
      </c>
      <c r="U53" s="0" t="n">
        <v>0.0013</v>
      </c>
      <c r="V53" s="0" t="s">
        <v>194</v>
      </c>
      <c r="W53" s="0" t="s">
        <v>46</v>
      </c>
      <c r="X53" s="0" t="s">
        <v>46</v>
      </c>
      <c r="Y53" s="0" t="s">
        <v>46</v>
      </c>
      <c r="Z53" s="0" t="s">
        <v>159</v>
      </c>
      <c r="AA53" s="0" t="s">
        <v>171</v>
      </c>
      <c r="AB53" s="0" t="s">
        <v>46</v>
      </c>
      <c r="AC53" s="0" t="s">
        <v>51</v>
      </c>
      <c r="AD53" s="0" t="s">
        <v>52</v>
      </c>
      <c r="AE53" s="0" t="s">
        <v>489</v>
      </c>
      <c r="AF53" s="0" t="s">
        <v>490</v>
      </c>
      <c r="AG53" s="0" t="s">
        <v>491</v>
      </c>
      <c r="AH53" s="0" t="s">
        <v>492</v>
      </c>
      <c r="AI53" s="0" t="s">
        <v>46</v>
      </c>
      <c r="AJ53" s="0" t="s">
        <v>46</v>
      </c>
      <c r="AK53" s="0" t="s">
        <v>46</v>
      </c>
      <c r="AL53" s="0" t="s">
        <v>46</v>
      </c>
    </row>
    <row r="54" customFormat="false" ht="15" hidden="false" customHeight="false" outlineLevel="0" collapsed="false">
      <c r="B54" s="0" t="str">
        <f aca="false">HYPERLINK("https://genome.ucsc.edu/cgi-bin/hgTracks?db=hg19&amp;position=chr1%3A20141060%2D20141060", "chr1:20141060")</f>
        <v>chr1:20141060</v>
      </c>
      <c r="C54" s="0" t="s">
        <v>56</v>
      </c>
      <c r="D54" s="0" t="n">
        <v>20141060</v>
      </c>
      <c r="E54" s="0" t="n">
        <v>20141060</v>
      </c>
      <c r="F54" s="0" t="s">
        <v>69</v>
      </c>
      <c r="G54" s="0" t="s">
        <v>57</v>
      </c>
      <c r="H54" s="0" t="s">
        <v>493</v>
      </c>
      <c r="I54" s="0" t="s">
        <v>464</v>
      </c>
      <c r="J54" s="0" t="s">
        <v>494</v>
      </c>
      <c r="K54" s="0" t="s">
        <v>46</v>
      </c>
      <c r="L54" s="0" t="str">
        <f aca="false">HYPERLINK("https://www.ncbi.nlm.nih.gov/snp/rs36095412", "rs36095412")</f>
        <v>rs36095412</v>
      </c>
      <c r="M54" s="0" t="str">
        <f aca="false">HYPERLINK("https://www.genecards.org/Search/Keyword?queryString=%5Baliases%5D(%20RNF186%20)&amp;keywords=RNF186", "RNF186")</f>
        <v>RNF186</v>
      </c>
      <c r="N54" s="0" t="s">
        <v>98</v>
      </c>
      <c r="O54" s="0" t="s">
        <v>371</v>
      </c>
      <c r="P54" s="0" t="s">
        <v>495</v>
      </c>
      <c r="Q54" s="0" t="n">
        <v>0.003049</v>
      </c>
      <c r="R54" s="0" t="n">
        <v>0.0026</v>
      </c>
      <c r="S54" s="0" t="n">
        <v>0.0022</v>
      </c>
      <c r="T54" s="0" t="n">
        <v>-1</v>
      </c>
      <c r="U54" s="0" t="n">
        <v>0.0038</v>
      </c>
      <c r="V54" s="0" t="s">
        <v>496</v>
      </c>
      <c r="W54" s="0" t="s">
        <v>46</v>
      </c>
      <c r="X54" s="0" t="s">
        <v>46</v>
      </c>
      <c r="Y54" s="0" t="s">
        <v>46</v>
      </c>
      <c r="Z54" s="0" t="s">
        <v>49</v>
      </c>
      <c r="AA54" s="0" t="s">
        <v>171</v>
      </c>
      <c r="AB54" s="0" t="s">
        <v>46</v>
      </c>
      <c r="AC54" s="0" t="s">
        <v>51</v>
      </c>
      <c r="AD54" s="0" t="s">
        <v>52</v>
      </c>
      <c r="AE54" s="0" t="s">
        <v>497</v>
      </c>
      <c r="AF54" s="0" t="s">
        <v>498</v>
      </c>
      <c r="AG54" s="0" t="s">
        <v>46</v>
      </c>
      <c r="AH54" s="0" t="s">
        <v>46</v>
      </c>
      <c r="AI54" s="0" t="s">
        <v>46</v>
      </c>
      <c r="AJ54" s="0" t="s">
        <v>46</v>
      </c>
      <c r="AK54" s="0" t="s">
        <v>46</v>
      </c>
      <c r="AL54" s="0" t="s">
        <v>46</v>
      </c>
    </row>
    <row r="55" customFormat="false" ht="15" hidden="false" customHeight="false" outlineLevel="0" collapsed="false">
      <c r="B55" s="0" t="str">
        <f aca="false">HYPERLINK("https://genome.ucsc.edu/cgi-bin/hgTracks?db=hg19&amp;position=chr1%3A20209137%2D20209137", "chr1:20209137")</f>
        <v>chr1:20209137</v>
      </c>
      <c r="C55" s="0" t="s">
        <v>56</v>
      </c>
      <c r="D55" s="0" t="n">
        <v>20209137</v>
      </c>
      <c r="E55" s="0" t="n">
        <v>20209137</v>
      </c>
      <c r="F55" s="0" t="s">
        <v>69</v>
      </c>
      <c r="G55" s="0" t="s">
        <v>57</v>
      </c>
      <c r="H55" s="0" t="s">
        <v>499</v>
      </c>
      <c r="I55" s="0" t="s">
        <v>178</v>
      </c>
      <c r="J55" s="0" t="s">
        <v>500</v>
      </c>
      <c r="K55" s="0" t="s">
        <v>46</v>
      </c>
      <c r="L55" s="0" t="str">
        <f aca="false">HYPERLINK("https://www.ncbi.nlm.nih.gov/snp/rs760142848", "rs760142848")</f>
        <v>rs760142848</v>
      </c>
      <c r="M55" s="0" t="str">
        <f aca="false">HYPERLINK("https://www.genecards.org/Search/Keyword?queryString=%5Baliases%5D(%20OTUD3%20)&amp;keywords=OTUD3", "OTUD3")</f>
        <v>OTUD3</v>
      </c>
      <c r="N55" s="0" t="s">
        <v>98</v>
      </c>
      <c r="O55" s="0" t="s">
        <v>99</v>
      </c>
      <c r="P55" s="0" t="s">
        <v>501</v>
      </c>
      <c r="Q55" s="0" t="n">
        <v>0.0017</v>
      </c>
      <c r="R55" s="0" t="n">
        <v>0.0016</v>
      </c>
      <c r="S55" s="0" t="n">
        <v>0.001</v>
      </c>
      <c r="T55" s="0" t="n">
        <v>-1</v>
      </c>
      <c r="U55" s="0" t="n">
        <v>0.0026</v>
      </c>
      <c r="V55" s="0" t="s">
        <v>502</v>
      </c>
      <c r="W55" s="0" t="s">
        <v>46</v>
      </c>
      <c r="X55" s="0" t="s">
        <v>46</v>
      </c>
      <c r="Y55" s="0" t="s">
        <v>46</v>
      </c>
      <c r="Z55" s="0" t="s">
        <v>49</v>
      </c>
      <c r="AA55" s="0" t="s">
        <v>171</v>
      </c>
      <c r="AB55" s="0" t="s">
        <v>46</v>
      </c>
      <c r="AC55" s="0" t="s">
        <v>51</v>
      </c>
      <c r="AD55" s="0" t="s">
        <v>52</v>
      </c>
      <c r="AE55" s="0" t="s">
        <v>503</v>
      </c>
      <c r="AF55" s="0" t="s">
        <v>504</v>
      </c>
      <c r="AG55" s="0" t="s">
        <v>505</v>
      </c>
      <c r="AH55" s="0" t="s">
        <v>46</v>
      </c>
      <c r="AI55" s="0" t="s">
        <v>46</v>
      </c>
      <c r="AJ55" s="0" t="s">
        <v>46</v>
      </c>
      <c r="AK55" s="0" t="s">
        <v>46</v>
      </c>
      <c r="AL55" s="0" t="s">
        <v>46</v>
      </c>
    </row>
    <row r="56" customFormat="false" ht="15" hidden="false" customHeight="false" outlineLevel="0" collapsed="false">
      <c r="B56" s="0" t="str">
        <f aca="false">HYPERLINK("https://genome.ucsc.edu/cgi-bin/hgTracks?db=hg19&amp;position=chr1%3A22895820%2D22895820", "chr1:22895820")</f>
        <v>chr1:22895820</v>
      </c>
      <c r="C56" s="0" t="s">
        <v>56</v>
      </c>
      <c r="D56" s="0" t="n">
        <v>22895820</v>
      </c>
      <c r="E56" s="0" t="n">
        <v>22895820</v>
      </c>
      <c r="F56" s="0" t="s">
        <v>69</v>
      </c>
      <c r="G56" s="0" t="s">
        <v>57</v>
      </c>
      <c r="H56" s="0" t="s">
        <v>506</v>
      </c>
      <c r="I56" s="0" t="s">
        <v>464</v>
      </c>
      <c r="J56" s="0" t="s">
        <v>507</v>
      </c>
      <c r="K56" s="0" t="s">
        <v>46</v>
      </c>
      <c r="L56" s="0" t="str">
        <f aca="false">HYPERLINK("https://www.ncbi.nlm.nih.gov/snp/rs45498698", "rs45498698")</f>
        <v>rs45498698</v>
      </c>
      <c r="M56" s="0" t="str">
        <f aca="false">HYPERLINK("https://www.genecards.org/Search/Keyword?queryString=%5Baliases%5D(%20EPHA8%20)&amp;keywords=EPHA8", "EPHA8")</f>
        <v>EPHA8</v>
      </c>
      <c r="N56" s="0" t="s">
        <v>98</v>
      </c>
      <c r="O56" s="0" t="s">
        <v>99</v>
      </c>
      <c r="P56" s="0" t="s">
        <v>508</v>
      </c>
      <c r="Q56" s="0" t="n">
        <v>0.025862</v>
      </c>
      <c r="R56" s="0" t="n">
        <v>0.014</v>
      </c>
      <c r="S56" s="0" t="n">
        <v>0.0126</v>
      </c>
      <c r="T56" s="0" t="n">
        <v>-1</v>
      </c>
      <c r="U56" s="0" t="n">
        <v>0.016</v>
      </c>
      <c r="V56" s="0" t="s">
        <v>323</v>
      </c>
      <c r="W56" s="0" t="s">
        <v>46</v>
      </c>
      <c r="X56" s="0" t="s">
        <v>46</v>
      </c>
      <c r="Y56" s="0" t="s">
        <v>46</v>
      </c>
      <c r="Z56" s="0" t="s">
        <v>231</v>
      </c>
      <c r="AA56" s="0" t="s">
        <v>171</v>
      </c>
      <c r="AB56" s="0" t="s">
        <v>46</v>
      </c>
      <c r="AC56" s="0" t="s">
        <v>51</v>
      </c>
      <c r="AD56" s="0" t="s">
        <v>52</v>
      </c>
      <c r="AE56" s="0" t="s">
        <v>509</v>
      </c>
      <c r="AF56" s="0" t="s">
        <v>510</v>
      </c>
      <c r="AG56" s="0" t="s">
        <v>511</v>
      </c>
      <c r="AH56" s="0" t="s">
        <v>46</v>
      </c>
      <c r="AI56" s="0" t="s">
        <v>46</v>
      </c>
      <c r="AJ56" s="0" t="s">
        <v>46</v>
      </c>
      <c r="AK56" s="0" t="s">
        <v>46</v>
      </c>
      <c r="AL56" s="0" t="s">
        <v>46</v>
      </c>
    </row>
    <row r="57" customFormat="false" ht="15" hidden="false" customHeight="false" outlineLevel="0" collapsed="false">
      <c r="B57" s="0" t="str">
        <f aca="false">HYPERLINK("https://genome.ucsc.edu/cgi-bin/hgTracks?db=hg19&amp;position=chr1%3A39341749%2D39341749", "chr1:39341749")</f>
        <v>chr1:39341749</v>
      </c>
      <c r="C57" s="0" t="s">
        <v>56</v>
      </c>
      <c r="D57" s="0" t="n">
        <v>39341749</v>
      </c>
      <c r="E57" s="0" t="n">
        <v>39341749</v>
      </c>
      <c r="F57" s="0" t="s">
        <v>39</v>
      </c>
      <c r="G57" s="0" t="s">
        <v>40</v>
      </c>
      <c r="H57" s="0" t="s">
        <v>512</v>
      </c>
      <c r="I57" s="0" t="s">
        <v>369</v>
      </c>
      <c r="J57" s="0" t="s">
        <v>513</v>
      </c>
      <c r="K57" s="0" t="s">
        <v>46</v>
      </c>
      <c r="L57" s="0" t="str">
        <f aca="false">HYPERLINK("https://www.ncbi.nlm.nih.gov/snp/rs61732191", "rs61732191")</f>
        <v>rs61732191</v>
      </c>
      <c r="M57" s="0" t="str">
        <f aca="false">HYPERLINK("https://www.genecards.org/Search/Keyword?queryString=%5Baliases%5D(%20GJA9%20)&amp;keywords=GJA9", "GJA9")</f>
        <v>GJA9</v>
      </c>
      <c r="N57" s="0" t="s">
        <v>98</v>
      </c>
      <c r="O57" s="0" t="s">
        <v>99</v>
      </c>
      <c r="P57" s="0" t="s">
        <v>514</v>
      </c>
      <c r="Q57" s="0" t="n">
        <v>0.0043</v>
      </c>
      <c r="R57" s="0" t="n">
        <v>0.003</v>
      </c>
      <c r="S57" s="0" t="n">
        <v>0.0036</v>
      </c>
      <c r="T57" s="0" t="n">
        <v>-1</v>
      </c>
      <c r="U57" s="0" t="n">
        <v>0.0041</v>
      </c>
      <c r="V57" s="0" t="s">
        <v>515</v>
      </c>
      <c r="W57" s="0" t="s">
        <v>46</v>
      </c>
      <c r="X57" s="0" t="s">
        <v>46</v>
      </c>
      <c r="Y57" s="0" t="s">
        <v>46</v>
      </c>
      <c r="Z57" s="0" t="s">
        <v>231</v>
      </c>
      <c r="AA57" s="0" t="s">
        <v>171</v>
      </c>
      <c r="AB57" s="0" t="s">
        <v>46</v>
      </c>
      <c r="AC57" s="0" t="s">
        <v>51</v>
      </c>
      <c r="AD57" s="0" t="s">
        <v>52</v>
      </c>
      <c r="AE57" s="0" t="s">
        <v>516</v>
      </c>
      <c r="AF57" s="0" t="s">
        <v>517</v>
      </c>
      <c r="AG57" s="0" t="s">
        <v>518</v>
      </c>
      <c r="AH57" s="0" t="s">
        <v>46</v>
      </c>
      <c r="AI57" s="0" t="s">
        <v>46</v>
      </c>
      <c r="AJ57" s="0" t="s">
        <v>46</v>
      </c>
      <c r="AK57" s="0" t="s">
        <v>46</v>
      </c>
      <c r="AL57" s="0" t="s">
        <v>46</v>
      </c>
    </row>
    <row r="58" customFormat="false" ht="15" hidden="false" customHeight="false" outlineLevel="0" collapsed="false">
      <c r="B58" s="0" t="str">
        <f aca="false">HYPERLINK("https://genome.ucsc.edu/cgi-bin/hgTracks?db=hg19&amp;position=chr1%3A44433123%2D44433123", "chr1:44433123")</f>
        <v>chr1:44433123</v>
      </c>
      <c r="C58" s="0" t="s">
        <v>56</v>
      </c>
      <c r="D58" s="0" t="n">
        <v>44433123</v>
      </c>
      <c r="E58" s="0" t="n">
        <v>44433123</v>
      </c>
      <c r="F58" s="0" t="s">
        <v>69</v>
      </c>
      <c r="G58" s="0" t="s">
        <v>57</v>
      </c>
      <c r="H58" s="0" t="s">
        <v>519</v>
      </c>
      <c r="I58" s="0" t="s">
        <v>520</v>
      </c>
      <c r="J58" s="0" t="s">
        <v>521</v>
      </c>
      <c r="K58" s="0" t="s">
        <v>46</v>
      </c>
      <c r="L58" s="0" t="str">
        <f aca="false">HYPERLINK("https://www.ncbi.nlm.nih.gov/snp/rs372139269", "rs372139269")</f>
        <v>rs372139269</v>
      </c>
      <c r="M58" s="0" t="str">
        <f aca="false">HYPERLINK("https://www.genecards.org/Search/Keyword?queryString=%5Baliases%5D(%20IPO13%20)&amp;keywords=IPO13", "IPO13")</f>
        <v>IPO13</v>
      </c>
      <c r="N58" s="0" t="s">
        <v>98</v>
      </c>
      <c r="O58" s="0" t="s">
        <v>99</v>
      </c>
      <c r="P58" s="0" t="s">
        <v>522</v>
      </c>
      <c r="Q58" s="0" t="n">
        <v>7.7E-005</v>
      </c>
      <c r="R58" s="0" t="n">
        <v>-1</v>
      </c>
      <c r="S58" s="0" t="n">
        <v>-1</v>
      </c>
      <c r="T58" s="0" t="n">
        <v>-1</v>
      </c>
      <c r="U58" s="0" t="n">
        <v>-1</v>
      </c>
      <c r="V58" s="0" t="s">
        <v>148</v>
      </c>
      <c r="W58" s="0" t="s">
        <v>46</v>
      </c>
      <c r="X58" s="0" t="s">
        <v>46</v>
      </c>
      <c r="Y58" s="0" t="s">
        <v>46</v>
      </c>
      <c r="Z58" s="0" t="s">
        <v>231</v>
      </c>
      <c r="AA58" s="0" t="s">
        <v>171</v>
      </c>
      <c r="AB58" s="0" t="s">
        <v>46</v>
      </c>
      <c r="AC58" s="0" t="s">
        <v>51</v>
      </c>
      <c r="AD58" s="0" t="s">
        <v>52</v>
      </c>
      <c r="AE58" s="0" t="s">
        <v>523</v>
      </c>
      <c r="AF58" s="0" t="s">
        <v>524</v>
      </c>
      <c r="AG58" s="0" t="s">
        <v>525</v>
      </c>
      <c r="AH58" s="0" t="s">
        <v>46</v>
      </c>
      <c r="AI58" s="0" t="s">
        <v>46</v>
      </c>
      <c r="AJ58" s="0" t="s">
        <v>46</v>
      </c>
      <c r="AK58" s="0" t="s">
        <v>46</v>
      </c>
      <c r="AL58" s="0" t="s">
        <v>46</v>
      </c>
    </row>
    <row r="59" customFormat="false" ht="15" hidden="false" customHeight="false" outlineLevel="0" collapsed="false">
      <c r="B59" s="0" t="str">
        <f aca="false">HYPERLINK("https://genome.ucsc.edu/cgi-bin/hgTracks?db=hg19&amp;position=chr1%3A45480219%2D45480219", "chr1:45480219")</f>
        <v>chr1:45480219</v>
      </c>
      <c r="C59" s="0" t="s">
        <v>56</v>
      </c>
      <c r="D59" s="0" t="n">
        <v>45480219</v>
      </c>
      <c r="E59" s="0" t="n">
        <v>45480219</v>
      </c>
      <c r="F59" s="0" t="s">
        <v>39</v>
      </c>
      <c r="G59" s="0" t="s">
        <v>40</v>
      </c>
      <c r="H59" s="0" t="s">
        <v>526</v>
      </c>
      <c r="I59" s="0" t="s">
        <v>527</v>
      </c>
      <c r="J59" s="0" t="s">
        <v>528</v>
      </c>
      <c r="K59" s="0" t="s">
        <v>46</v>
      </c>
      <c r="L59" s="0" t="str">
        <f aca="false">HYPERLINK("https://www.ncbi.nlm.nih.gov/snp/rs137978913", "rs137978913")</f>
        <v>rs137978913</v>
      </c>
      <c r="M59" s="0" t="str">
        <f aca="false">HYPERLINK("https://www.genecards.org/Search/Keyword?queryString=%5Baliases%5D(%20UROD%20)&amp;keywords=UROD", "UROD")</f>
        <v>UROD</v>
      </c>
      <c r="N59" s="0" t="s">
        <v>98</v>
      </c>
      <c r="O59" s="0" t="s">
        <v>99</v>
      </c>
      <c r="P59" s="0" t="s">
        <v>529</v>
      </c>
      <c r="Q59" s="0" t="n">
        <v>0.000216717</v>
      </c>
      <c r="R59" s="0" t="n">
        <v>9.032E-005</v>
      </c>
      <c r="S59" s="0" t="n">
        <v>7.351E-005</v>
      </c>
      <c r="T59" s="0" t="n">
        <v>-1</v>
      </c>
      <c r="U59" s="0" t="n">
        <v>0.0002</v>
      </c>
      <c r="V59" s="0" t="s">
        <v>291</v>
      </c>
      <c r="W59" s="0" t="s">
        <v>46</v>
      </c>
      <c r="X59" s="0" t="s">
        <v>46</v>
      </c>
      <c r="Y59" s="0" t="s">
        <v>46</v>
      </c>
      <c r="Z59" s="0" t="s">
        <v>159</v>
      </c>
      <c r="AA59" s="0" t="s">
        <v>171</v>
      </c>
      <c r="AB59" s="0" t="s">
        <v>46</v>
      </c>
      <c r="AC59" s="0" t="s">
        <v>51</v>
      </c>
      <c r="AD59" s="0" t="s">
        <v>52</v>
      </c>
      <c r="AE59" s="0" t="s">
        <v>530</v>
      </c>
      <c r="AF59" s="0" t="s">
        <v>531</v>
      </c>
      <c r="AG59" s="0" t="s">
        <v>532</v>
      </c>
      <c r="AH59" s="0" t="s">
        <v>533</v>
      </c>
      <c r="AI59" s="0" t="s">
        <v>46</v>
      </c>
      <c r="AJ59" s="0" t="s">
        <v>46</v>
      </c>
      <c r="AK59" s="0" t="s">
        <v>46</v>
      </c>
      <c r="AL59" s="0" t="s">
        <v>46</v>
      </c>
    </row>
    <row r="60" customFormat="false" ht="15" hidden="false" customHeight="false" outlineLevel="0" collapsed="false">
      <c r="B60" s="0" t="str">
        <f aca="false">HYPERLINK("https://genome.ucsc.edu/cgi-bin/hgTracks?db=hg19&amp;position=chr1%3A46651169%2D46651169", "chr1:46651169")</f>
        <v>chr1:46651169</v>
      </c>
      <c r="C60" s="0" t="s">
        <v>56</v>
      </c>
      <c r="D60" s="0" t="n">
        <v>46651169</v>
      </c>
      <c r="E60" s="0" t="n">
        <v>46651169</v>
      </c>
      <c r="F60" s="0" t="s">
        <v>69</v>
      </c>
      <c r="G60" s="0" t="s">
        <v>57</v>
      </c>
      <c r="H60" s="0" t="s">
        <v>534</v>
      </c>
      <c r="I60" s="0" t="s">
        <v>535</v>
      </c>
      <c r="J60" s="0" t="s">
        <v>536</v>
      </c>
      <c r="K60" s="0" t="s">
        <v>46</v>
      </c>
      <c r="L60" s="0" t="str">
        <f aca="false">HYPERLINK("https://www.ncbi.nlm.nih.gov/snp/rs34463133", "rs34463133")</f>
        <v>rs34463133</v>
      </c>
      <c r="M60" s="0" t="str">
        <f aca="false">HYPERLINK("https://www.genecards.org/Search/Keyword?queryString=%5Baliases%5D(%20TSPAN1%20)&amp;keywords=TSPAN1", "TSPAN1")</f>
        <v>TSPAN1</v>
      </c>
      <c r="N60" s="0" t="s">
        <v>98</v>
      </c>
      <c r="O60" s="0" t="s">
        <v>99</v>
      </c>
      <c r="P60" s="0" t="s">
        <v>537</v>
      </c>
      <c r="Q60" s="0" t="n">
        <v>0.0041</v>
      </c>
      <c r="R60" s="0" t="n">
        <v>0.0032</v>
      </c>
      <c r="S60" s="0" t="n">
        <v>0.0036</v>
      </c>
      <c r="T60" s="0" t="n">
        <v>-1</v>
      </c>
      <c r="U60" s="0" t="n">
        <v>0.0033</v>
      </c>
      <c r="V60" s="0" t="s">
        <v>230</v>
      </c>
      <c r="W60" s="0" t="s">
        <v>46</v>
      </c>
      <c r="X60" s="0" t="s">
        <v>46</v>
      </c>
      <c r="Y60" s="0" t="s">
        <v>46</v>
      </c>
      <c r="Z60" s="0" t="s">
        <v>102</v>
      </c>
      <c r="AA60" s="0" t="s">
        <v>171</v>
      </c>
      <c r="AB60" s="0" t="s">
        <v>46</v>
      </c>
      <c r="AC60" s="0" t="s">
        <v>51</v>
      </c>
      <c r="AD60" s="0" t="s">
        <v>52</v>
      </c>
      <c r="AE60" s="0" t="s">
        <v>538</v>
      </c>
      <c r="AF60" s="0" t="s">
        <v>539</v>
      </c>
      <c r="AG60" s="0" t="s">
        <v>46</v>
      </c>
      <c r="AH60" s="0" t="s">
        <v>46</v>
      </c>
      <c r="AI60" s="0" t="s">
        <v>46</v>
      </c>
      <c r="AJ60" s="0" t="s">
        <v>46</v>
      </c>
      <c r="AK60" s="0" t="s">
        <v>46</v>
      </c>
      <c r="AL60" s="0" t="s">
        <v>46</v>
      </c>
    </row>
    <row r="61" customFormat="false" ht="15" hidden="false" customHeight="false" outlineLevel="0" collapsed="false">
      <c r="B61" s="0" t="str">
        <f aca="false">HYPERLINK("https://genome.ucsc.edu/cgi-bin/hgTracks?db=hg19&amp;position=chr1%3A47280830%2D47280830", "chr1:47280830")</f>
        <v>chr1:47280830</v>
      </c>
      <c r="C61" s="0" t="s">
        <v>56</v>
      </c>
      <c r="D61" s="0" t="n">
        <v>47280830</v>
      </c>
      <c r="E61" s="0" t="n">
        <v>47280830</v>
      </c>
      <c r="F61" s="0" t="s">
        <v>57</v>
      </c>
      <c r="G61" s="0" t="s">
        <v>69</v>
      </c>
      <c r="H61" s="0" t="s">
        <v>540</v>
      </c>
      <c r="I61" s="0" t="s">
        <v>263</v>
      </c>
      <c r="J61" s="0" t="s">
        <v>541</v>
      </c>
      <c r="K61" s="0" t="s">
        <v>46</v>
      </c>
      <c r="L61" s="0" t="str">
        <f aca="false">HYPERLINK("https://www.ncbi.nlm.nih.gov/snp/rs45467195", "rs45467195")</f>
        <v>rs45467195</v>
      </c>
      <c r="M61" s="0" t="str">
        <f aca="false">HYPERLINK("https://www.genecards.org/Search/Keyword?queryString=%5Baliases%5D(%20CYP4B1%20)&amp;keywords=CYP4B1", "CYP4B1")</f>
        <v>CYP4B1</v>
      </c>
      <c r="N61" s="0" t="s">
        <v>98</v>
      </c>
      <c r="O61" s="0" t="s">
        <v>99</v>
      </c>
      <c r="P61" s="0" t="s">
        <v>542</v>
      </c>
      <c r="Q61" s="0" t="n">
        <v>0.0241</v>
      </c>
      <c r="R61" s="0" t="n">
        <v>0.0159</v>
      </c>
      <c r="S61" s="0" t="n">
        <v>0.0148</v>
      </c>
      <c r="T61" s="0" t="n">
        <v>-1</v>
      </c>
      <c r="U61" s="0" t="n">
        <v>0.016</v>
      </c>
      <c r="V61" s="0" t="s">
        <v>137</v>
      </c>
      <c r="W61" s="0" t="s">
        <v>46</v>
      </c>
      <c r="X61" s="0" t="s">
        <v>46</v>
      </c>
      <c r="Y61" s="0" t="s">
        <v>46</v>
      </c>
      <c r="Z61" s="0" t="s">
        <v>183</v>
      </c>
      <c r="AA61" s="0" t="s">
        <v>171</v>
      </c>
      <c r="AB61" s="0" t="s">
        <v>46</v>
      </c>
      <c r="AC61" s="0" t="s">
        <v>51</v>
      </c>
      <c r="AD61" s="0" t="s">
        <v>52</v>
      </c>
      <c r="AE61" s="0" t="s">
        <v>543</v>
      </c>
      <c r="AF61" s="0" t="s">
        <v>544</v>
      </c>
      <c r="AG61" s="0" t="s">
        <v>545</v>
      </c>
      <c r="AH61" s="0" t="s">
        <v>46</v>
      </c>
      <c r="AI61" s="0" t="s">
        <v>46</v>
      </c>
      <c r="AJ61" s="0" t="s">
        <v>46</v>
      </c>
      <c r="AK61" s="0" t="s">
        <v>46</v>
      </c>
      <c r="AL61" s="0" t="s">
        <v>46</v>
      </c>
    </row>
    <row r="62" customFormat="false" ht="15" hidden="false" customHeight="false" outlineLevel="0" collapsed="false">
      <c r="B62" s="0" t="str">
        <f aca="false">HYPERLINK("https://genome.ucsc.edu/cgi-bin/hgTracks?db=hg19&amp;position=chr1%3A50884531%2D50884531", "chr1:50884531")</f>
        <v>chr1:50884531</v>
      </c>
      <c r="C62" s="0" t="s">
        <v>56</v>
      </c>
      <c r="D62" s="0" t="n">
        <v>50884531</v>
      </c>
      <c r="E62" s="0" t="n">
        <v>50884531</v>
      </c>
      <c r="F62" s="0" t="s">
        <v>39</v>
      </c>
      <c r="G62" s="0" t="s">
        <v>40</v>
      </c>
      <c r="H62" s="0" t="s">
        <v>546</v>
      </c>
      <c r="I62" s="0" t="s">
        <v>547</v>
      </c>
      <c r="J62" s="0" t="s">
        <v>548</v>
      </c>
      <c r="K62" s="0" t="s">
        <v>46</v>
      </c>
      <c r="L62" s="0" t="s">
        <v>46</v>
      </c>
      <c r="M62" s="0" t="str">
        <f aca="false">HYPERLINK("https://www.genecards.org/Search/Keyword?queryString=%5Baliases%5D(%20DMRTA2%20)&amp;keywords=DMRTA2", "DMRTA2")</f>
        <v>DMRTA2</v>
      </c>
      <c r="N62" s="0" t="s">
        <v>98</v>
      </c>
      <c r="O62" s="0" t="s">
        <v>99</v>
      </c>
      <c r="P62" s="0" t="s">
        <v>549</v>
      </c>
      <c r="Q62" s="0" t="n">
        <v>-1</v>
      </c>
      <c r="R62" s="0" t="n">
        <v>-1</v>
      </c>
      <c r="S62" s="0" t="n">
        <v>-1</v>
      </c>
      <c r="T62" s="0" t="n">
        <v>-1</v>
      </c>
      <c r="U62" s="0" t="n">
        <v>-1</v>
      </c>
      <c r="V62" s="0" t="s">
        <v>230</v>
      </c>
      <c r="W62" s="0" t="s">
        <v>46</v>
      </c>
      <c r="X62" s="0" t="s">
        <v>46</v>
      </c>
      <c r="Y62" s="0" t="s">
        <v>46</v>
      </c>
      <c r="Z62" s="0" t="s">
        <v>138</v>
      </c>
      <c r="AA62" s="0" t="s">
        <v>171</v>
      </c>
      <c r="AB62" s="0" t="s">
        <v>46</v>
      </c>
      <c r="AC62" s="0" t="s">
        <v>51</v>
      </c>
      <c r="AD62" s="0" t="s">
        <v>52</v>
      </c>
      <c r="AE62" s="0" t="s">
        <v>46</v>
      </c>
      <c r="AF62" s="0" t="s">
        <v>550</v>
      </c>
      <c r="AG62" s="0" t="s">
        <v>551</v>
      </c>
      <c r="AH62" s="0" t="s">
        <v>46</v>
      </c>
      <c r="AI62" s="0" t="s">
        <v>46</v>
      </c>
      <c r="AJ62" s="0" t="s">
        <v>46</v>
      </c>
      <c r="AK62" s="0" t="s">
        <v>46</v>
      </c>
      <c r="AL62" s="0" t="s">
        <v>46</v>
      </c>
    </row>
    <row r="63" customFormat="false" ht="15" hidden="false" customHeight="false" outlineLevel="0" collapsed="false">
      <c r="B63" s="0" t="str">
        <f aca="false">HYPERLINK("https://genome.ucsc.edu/cgi-bin/hgTracks?db=hg19&amp;position=chr1%3A55307347%2D55307347", "chr1:55307347")</f>
        <v>chr1:55307347</v>
      </c>
      <c r="C63" s="0" t="s">
        <v>56</v>
      </c>
      <c r="D63" s="0" t="n">
        <v>55307347</v>
      </c>
      <c r="E63" s="0" t="n">
        <v>55307347</v>
      </c>
      <c r="F63" s="0" t="s">
        <v>40</v>
      </c>
      <c r="G63" s="0" t="s">
        <v>69</v>
      </c>
      <c r="H63" s="0" t="s">
        <v>552</v>
      </c>
      <c r="I63" s="0" t="s">
        <v>452</v>
      </c>
      <c r="J63" s="0" t="s">
        <v>553</v>
      </c>
      <c r="K63" s="0" t="s">
        <v>46</v>
      </c>
      <c r="L63" s="0" t="str">
        <f aca="false">HYPERLINK("https://www.ncbi.nlm.nih.gov/snp/rs147344078", "rs147344078")</f>
        <v>rs147344078</v>
      </c>
      <c r="M63" s="0" t="str">
        <f aca="false">HYPERLINK("https://www.genecards.org/Search/Keyword?queryString=%5Baliases%5D(%20C1orf177%20)%20OR%20%5Baliases%5D(%20LEXM%20)&amp;keywords=C1orf177,LEXM", "C1orf177;LEXM")</f>
        <v>C1orf177;LEXM</v>
      </c>
      <c r="N63" s="0" t="s">
        <v>98</v>
      </c>
      <c r="O63" s="0" t="s">
        <v>554</v>
      </c>
      <c r="P63" s="0" t="s">
        <v>555</v>
      </c>
      <c r="Q63" s="0" t="n">
        <v>0.005051</v>
      </c>
      <c r="R63" s="0" t="n">
        <v>0.0016</v>
      </c>
      <c r="S63" s="0" t="n">
        <v>0.0014</v>
      </c>
      <c r="T63" s="0" t="n">
        <v>-1</v>
      </c>
      <c r="U63" s="0" t="n">
        <v>0.0016</v>
      </c>
      <c r="V63" s="0" t="s">
        <v>556</v>
      </c>
      <c r="W63" s="0" t="s">
        <v>46</v>
      </c>
      <c r="X63" s="0" t="s">
        <v>46</v>
      </c>
      <c r="Y63" s="0" t="s">
        <v>46</v>
      </c>
      <c r="Z63" s="0" t="s">
        <v>49</v>
      </c>
      <c r="AA63" s="0" t="s">
        <v>171</v>
      </c>
      <c r="AB63" s="0" t="s">
        <v>46</v>
      </c>
      <c r="AC63" s="0" t="s">
        <v>51</v>
      </c>
      <c r="AD63" s="0" t="s">
        <v>437</v>
      </c>
      <c r="AE63" s="0" t="s">
        <v>46</v>
      </c>
      <c r="AF63" s="0" t="s">
        <v>557</v>
      </c>
      <c r="AG63" s="0" t="s">
        <v>46</v>
      </c>
      <c r="AH63" s="0" t="s">
        <v>46</v>
      </c>
      <c r="AI63" s="0" t="s">
        <v>46</v>
      </c>
      <c r="AJ63" s="0" t="s">
        <v>46</v>
      </c>
      <c r="AK63" s="0" t="s">
        <v>46</v>
      </c>
      <c r="AL63" s="0" t="s">
        <v>46</v>
      </c>
    </row>
    <row r="64" customFormat="false" ht="15" hidden="false" customHeight="false" outlineLevel="0" collapsed="false">
      <c r="B64" s="0" t="str">
        <f aca="false">HYPERLINK("https://genome.ucsc.edu/cgi-bin/hgTracks?db=hg19&amp;position=chr1%3A85510964%2D85510964", "chr1:85510964")</f>
        <v>chr1:85510964</v>
      </c>
      <c r="C64" s="0" t="s">
        <v>56</v>
      </c>
      <c r="D64" s="0" t="n">
        <v>85510964</v>
      </c>
      <c r="E64" s="0" t="n">
        <v>85510964</v>
      </c>
      <c r="F64" s="0" t="s">
        <v>69</v>
      </c>
      <c r="G64" s="0" t="s">
        <v>40</v>
      </c>
      <c r="H64" s="0" t="s">
        <v>558</v>
      </c>
      <c r="I64" s="0" t="s">
        <v>559</v>
      </c>
      <c r="J64" s="0" t="s">
        <v>560</v>
      </c>
      <c r="K64" s="0" t="s">
        <v>46</v>
      </c>
      <c r="L64" s="0" t="s">
        <v>46</v>
      </c>
      <c r="M64" s="0" t="str">
        <f aca="false">HYPERLINK("https://www.genecards.org/Search/Keyword?queryString=%5Baliases%5D(%20MCOLN3%20)&amp;keywords=MCOLN3", "MCOLN3")</f>
        <v>MCOLN3</v>
      </c>
      <c r="N64" s="0" t="s">
        <v>98</v>
      </c>
      <c r="O64" s="0" t="s">
        <v>99</v>
      </c>
      <c r="P64" s="0" t="s">
        <v>561</v>
      </c>
      <c r="Q64" s="0" t="n">
        <v>-1</v>
      </c>
      <c r="R64" s="0" t="n">
        <v>-1</v>
      </c>
      <c r="S64" s="0" t="n">
        <v>-1</v>
      </c>
      <c r="T64" s="0" t="n">
        <v>-1</v>
      </c>
      <c r="U64" s="0" t="n">
        <v>-1</v>
      </c>
      <c r="V64" s="0" t="s">
        <v>502</v>
      </c>
      <c r="W64" s="0" t="s">
        <v>46</v>
      </c>
      <c r="X64" s="0" t="s">
        <v>46</v>
      </c>
      <c r="Y64" s="0" t="s">
        <v>46</v>
      </c>
      <c r="Z64" s="0" t="s">
        <v>49</v>
      </c>
      <c r="AA64" s="0" t="s">
        <v>171</v>
      </c>
      <c r="AB64" s="0" t="s">
        <v>46</v>
      </c>
      <c r="AC64" s="0" t="s">
        <v>51</v>
      </c>
      <c r="AD64" s="0" t="s">
        <v>52</v>
      </c>
      <c r="AE64" s="0" t="s">
        <v>562</v>
      </c>
      <c r="AF64" s="0" t="s">
        <v>563</v>
      </c>
      <c r="AG64" s="0" t="s">
        <v>46</v>
      </c>
      <c r="AH64" s="0" t="s">
        <v>46</v>
      </c>
      <c r="AI64" s="0" t="s">
        <v>46</v>
      </c>
      <c r="AJ64" s="0" t="s">
        <v>46</v>
      </c>
      <c r="AK64" s="0" t="s">
        <v>46</v>
      </c>
      <c r="AL64" s="0" t="s">
        <v>46</v>
      </c>
    </row>
    <row r="65" customFormat="false" ht="15" hidden="false" customHeight="false" outlineLevel="0" collapsed="false">
      <c r="B65" s="0" t="str">
        <f aca="false">HYPERLINK("https://genome.ucsc.edu/cgi-bin/hgTracks?db=hg19&amp;position=chr1%3A109838960%2D109838960", "chr1:109838960")</f>
        <v>chr1:109838960</v>
      </c>
      <c r="C65" s="0" t="s">
        <v>56</v>
      </c>
      <c r="D65" s="0" t="n">
        <v>109838960</v>
      </c>
      <c r="E65" s="0" t="n">
        <v>109838960</v>
      </c>
      <c r="F65" s="0" t="s">
        <v>69</v>
      </c>
      <c r="G65" s="0" t="s">
        <v>57</v>
      </c>
      <c r="H65" s="0" t="s">
        <v>564</v>
      </c>
      <c r="I65" s="0" t="s">
        <v>565</v>
      </c>
      <c r="J65" s="0" t="s">
        <v>566</v>
      </c>
      <c r="K65" s="0" t="s">
        <v>46</v>
      </c>
      <c r="L65" s="0" t="str">
        <f aca="false">HYPERLINK("https://www.ncbi.nlm.nih.gov/snp/rs139849511", "rs139849511")</f>
        <v>rs139849511</v>
      </c>
      <c r="M65" s="0" t="str">
        <f aca="false">HYPERLINK("https://www.genecards.org/Search/Keyword?queryString=%5Baliases%5D(%20MYBPHL%20)&amp;keywords=MYBPHL", "MYBPHL")</f>
        <v>MYBPHL</v>
      </c>
      <c r="N65" s="0" t="s">
        <v>98</v>
      </c>
      <c r="O65" s="0" t="s">
        <v>371</v>
      </c>
      <c r="P65" s="0" t="s">
        <v>567</v>
      </c>
      <c r="Q65" s="0" t="n">
        <v>0.0038</v>
      </c>
      <c r="R65" s="0" t="n">
        <v>0.0051</v>
      </c>
      <c r="S65" s="0" t="n">
        <v>0.004</v>
      </c>
      <c r="T65" s="0" t="n">
        <v>-1</v>
      </c>
      <c r="U65" s="0" t="n">
        <v>0.008</v>
      </c>
      <c r="V65" s="0" t="s">
        <v>207</v>
      </c>
      <c r="W65" s="0" t="s">
        <v>46</v>
      </c>
      <c r="X65" s="0" t="s">
        <v>46</v>
      </c>
      <c r="Y65" s="0" t="s">
        <v>46</v>
      </c>
      <c r="Z65" s="0" t="s">
        <v>138</v>
      </c>
      <c r="AA65" s="0" t="s">
        <v>171</v>
      </c>
      <c r="AB65" s="0" t="s">
        <v>46</v>
      </c>
      <c r="AC65" s="0" t="s">
        <v>51</v>
      </c>
      <c r="AD65" s="0" t="s">
        <v>52</v>
      </c>
      <c r="AE65" s="0" t="s">
        <v>568</v>
      </c>
      <c r="AF65" s="0" t="s">
        <v>569</v>
      </c>
      <c r="AG65" s="0" t="s">
        <v>46</v>
      </c>
      <c r="AH65" s="0" t="s">
        <v>46</v>
      </c>
      <c r="AI65" s="0" t="s">
        <v>46</v>
      </c>
      <c r="AJ65" s="0" t="s">
        <v>46</v>
      </c>
      <c r="AK65" s="0" t="s">
        <v>46</v>
      </c>
      <c r="AL65" s="0" t="s">
        <v>46</v>
      </c>
    </row>
    <row r="66" customFormat="false" ht="15" hidden="false" customHeight="false" outlineLevel="0" collapsed="false">
      <c r="B66" s="0" t="str">
        <f aca="false">HYPERLINK("https://genome.ucsc.edu/cgi-bin/hgTracks?db=hg19&amp;position=chr1%3A110050250%2D110050250", "chr1:110050250")</f>
        <v>chr1:110050250</v>
      </c>
      <c r="C66" s="0" t="s">
        <v>56</v>
      </c>
      <c r="D66" s="0" t="n">
        <v>110050250</v>
      </c>
      <c r="E66" s="0" t="n">
        <v>110050250</v>
      </c>
      <c r="F66" s="0" t="s">
        <v>39</v>
      </c>
      <c r="G66" s="0" t="s">
        <v>57</v>
      </c>
      <c r="H66" s="0" t="s">
        <v>570</v>
      </c>
      <c r="I66" s="0" t="s">
        <v>571</v>
      </c>
      <c r="J66" s="0" t="s">
        <v>572</v>
      </c>
      <c r="K66" s="0" t="s">
        <v>46</v>
      </c>
      <c r="L66" s="0" t="str">
        <f aca="false">HYPERLINK("https://www.ncbi.nlm.nih.gov/snp/rs149872562", "rs149872562")</f>
        <v>rs149872562</v>
      </c>
      <c r="M66" s="0" t="str">
        <f aca="false">HYPERLINK("https://www.genecards.org/Search/Keyword?queryString=%5Baliases%5D(%20AMIGO1%20)&amp;keywords=AMIGO1", "AMIGO1")</f>
        <v>AMIGO1</v>
      </c>
      <c r="N66" s="0" t="s">
        <v>98</v>
      </c>
      <c r="O66" s="0" t="s">
        <v>99</v>
      </c>
      <c r="P66" s="0" t="s">
        <v>573</v>
      </c>
      <c r="Q66" s="0" t="n">
        <v>0.0035</v>
      </c>
      <c r="R66" s="0" t="n">
        <v>0.0046</v>
      </c>
      <c r="S66" s="0" t="n">
        <v>0.0037</v>
      </c>
      <c r="T66" s="0" t="n">
        <v>-1</v>
      </c>
      <c r="U66" s="0" t="n">
        <v>0.0073</v>
      </c>
      <c r="V66" s="0" t="s">
        <v>170</v>
      </c>
      <c r="W66" s="0" t="s">
        <v>46</v>
      </c>
      <c r="X66" s="0" t="s">
        <v>46</v>
      </c>
      <c r="Y66" s="0" t="s">
        <v>46</v>
      </c>
      <c r="Z66" s="0" t="s">
        <v>159</v>
      </c>
      <c r="AA66" s="0" t="s">
        <v>171</v>
      </c>
      <c r="AB66" s="0" t="s">
        <v>46</v>
      </c>
      <c r="AC66" s="0" t="s">
        <v>51</v>
      </c>
      <c r="AD66" s="0" t="s">
        <v>52</v>
      </c>
      <c r="AE66" s="0" t="s">
        <v>574</v>
      </c>
      <c r="AF66" s="0" t="s">
        <v>575</v>
      </c>
      <c r="AG66" s="0" t="s">
        <v>576</v>
      </c>
      <c r="AH66" s="0" t="s">
        <v>46</v>
      </c>
      <c r="AI66" s="0" t="s">
        <v>46</v>
      </c>
      <c r="AJ66" s="0" t="s">
        <v>46</v>
      </c>
      <c r="AK66" s="0" t="s">
        <v>46</v>
      </c>
      <c r="AL66" s="0" t="s">
        <v>46</v>
      </c>
    </row>
    <row r="67" customFormat="false" ht="15" hidden="false" customHeight="false" outlineLevel="0" collapsed="false">
      <c r="B67" s="0" t="str">
        <f aca="false">HYPERLINK("https://genome.ucsc.edu/cgi-bin/hgTracks?db=hg19&amp;position=chr1%3A117142583%2D117142583", "chr1:117142583")</f>
        <v>chr1:117142583</v>
      </c>
      <c r="C67" s="0" t="s">
        <v>56</v>
      </c>
      <c r="D67" s="0" t="n">
        <v>117142583</v>
      </c>
      <c r="E67" s="0" t="n">
        <v>117142583</v>
      </c>
      <c r="F67" s="0" t="s">
        <v>40</v>
      </c>
      <c r="G67" s="0" t="s">
        <v>57</v>
      </c>
      <c r="H67" s="0" t="s">
        <v>577</v>
      </c>
      <c r="I67" s="0" t="s">
        <v>578</v>
      </c>
      <c r="J67" s="0" t="s">
        <v>579</v>
      </c>
      <c r="K67" s="0" t="s">
        <v>46</v>
      </c>
      <c r="L67" s="0" t="str">
        <f aca="false">HYPERLINK("https://www.ncbi.nlm.nih.gov/snp/rs74624405", "rs74624405")</f>
        <v>rs74624405</v>
      </c>
      <c r="M67" s="0" t="str">
        <f aca="false">HYPERLINK("https://www.genecards.org/Search/Keyword?queryString=%5Baliases%5D(%20IGSF3%20)&amp;keywords=IGSF3", "IGSF3")</f>
        <v>IGSF3</v>
      </c>
      <c r="N67" s="0" t="s">
        <v>98</v>
      </c>
      <c r="O67" s="0" t="s">
        <v>99</v>
      </c>
      <c r="P67" s="0" t="s">
        <v>580</v>
      </c>
      <c r="Q67" s="0" t="n">
        <v>0.0019211</v>
      </c>
      <c r="R67" s="0" t="n">
        <v>0.0003</v>
      </c>
      <c r="S67" s="0" t="n">
        <v>0.0003</v>
      </c>
      <c r="T67" s="0" t="n">
        <v>-1</v>
      </c>
      <c r="U67" s="0" t="n">
        <v>0.0004</v>
      </c>
      <c r="V67" s="0" t="s">
        <v>170</v>
      </c>
      <c r="W67" s="0" t="s">
        <v>46</v>
      </c>
      <c r="X67" s="0" t="s">
        <v>46</v>
      </c>
      <c r="Y67" s="0" t="s">
        <v>46</v>
      </c>
      <c r="Z67" s="0" t="s">
        <v>159</v>
      </c>
      <c r="AA67" s="0" t="s">
        <v>171</v>
      </c>
      <c r="AB67" s="0" t="s">
        <v>46</v>
      </c>
      <c r="AC67" s="0" t="s">
        <v>51</v>
      </c>
      <c r="AD67" s="0" t="s">
        <v>581</v>
      </c>
      <c r="AE67" s="0" t="s">
        <v>582</v>
      </c>
      <c r="AF67" s="0" t="s">
        <v>583</v>
      </c>
      <c r="AG67" s="0" t="s">
        <v>46</v>
      </c>
      <c r="AH67" s="0" t="s">
        <v>46</v>
      </c>
      <c r="AI67" s="0" t="s">
        <v>46</v>
      </c>
      <c r="AJ67" s="0" t="s">
        <v>46</v>
      </c>
      <c r="AK67" s="0" t="s">
        <v>46</v>
      </c>
      <c r="AL67" s="0" t="s">
        <v>584</v>
      </c>
    </row>
    <row r="68" customFormat="false" ht="15" hidden="false" customHeight="false" outlineLevel="0" collapsed="false">
      <c r="B68" s="0" t="str">
        <f aca="false">HYPERLINK("https://genome.ucsc.edu/cgi-bin/hgTracks?db=hg19&amp;position=chr1%3A117142700%2D117142700", "chr1:117142700")</f>
        <v>chr1:117142700</v>
      </c>
      <c r="C68" s="0" t="s">
        <v>56</v>
      </c>
      <c r="D68" s="0" t="n">
        <v>117142700</v>
      </c>
      <c r="E68" s="0" t="n">
        <v>117142700</v>
      </c>
      <c r="F68" s="0" t="s">
        <v>39</v>
      </c>
      <c r="G68" s="0" t="s">
        <v>57</v>
      </c>
      <c r="H68" s="0" t="s">
        <v>585</v>
      </c>
      <c r="I68" s="0" t="s">
        <v>586</v>
      </c>
      <c r="J68" s="0" t="s">
        <v>587</v>
      </c>
      <c r="K68" s="0" t="s">
        <v>46</v>
      </c>
      <c r="L68" s="0" t="str">
        <f aca="false">HYPERLINK("https://www.ncbi.nlm.nih.gov/snp/rs75947003", "rs75947003")</f>
        <v>rs75947003</v>
      </c>
      <c r="M68" s="0" t="str">
        <f aca="false">HYPERLINK("https://www.genecards.org/Search/Keyword?queryString=%5Baliases%5D(%20IGSF3%20)&amp;keywords=IGSF3", "IGSF3")</f>
        <v>IGSF3</v>
      </c>
      <c r="N68" s="0" t="s">
        <v>98</v>
      </c>
      <c r="O68" s="0" t="s">
        <v>99</v>
      </c>
      <c r="P68" s="0" t="s">
        <v>588</v>
      </c>
      <c r="Q68" s="0" t="n">
        <v>0.01087</v>
      </c>
      <c r="R68" s="0" t="n">
        <v>-1</v>
      </c>
      <c r="S68" s="0" t="n">
        <v>-1</v>
      </c>
      <c r="T68" s="0" t="n">
        <v>-1</v>
      </c>
      <c r="U68" s="0" t="n">
        <v>-1</v>
      </c>
      <c r="V68" s="0" t="s">
        <v>215</v>
      </c>
      <c r="W68" s="0" t="s">
        <v>46</v>
      </c>
      <c r="X68" s="0" t="s">
        <v>46</v>
      </c>
      <c r="Y68" s="0" t="s">
        <v>46</v>
      </c>
      <c r="Z68" s="0" t="s">
        <v>231</v>
      </c>
      <c r="AA68" s="0" t="s">
        <v>171</v>
      </c>
      <c r="AB68" s="0" t="s">
        <v>46</v>
      </c>
      <c r="AC68" s="0" t="s">
        <v>51</v>
      </c>
      <c r="AD68" s="0" t="s">
        <v>581</v>
      </c>
      <c r="AE68" s="0" t="s">
        <v>582</v>
      </c>
      <c r="AF68" s="0" t="s">
        <v>583</v>
      </c>
      <c r="AG68" s="0" t="s">
        <v>46</v>
      </c>
      <c r="AH68" s="0" t="s">
        <v>46</v>
      </c>
      <c r="AI68" s="0" t="s">
        <v>46</v>
      </c>
      <c r="AJ68" s="0" t="s">
        <v>46</v>
      </c>
      <c r="AK68" s="0" t="s">
        <v>46</v>
      </c>
      <c r="AL68" s="0" t="s">
        <v>584</v>
      </c>
    </row>
    <row r="69" customFormat="false" ht="15" hidden="false" customHeight="false" outlineLevel="0" collapsed="false">
      <c r="B69" s="0" t="str">
        <f aca="false">HYPERLINK("https://genome.ucsc.edu/cgi-bin/hgTracks?db=hg19&amp;position=chr1%3A117142736%2D117142736", "chr1:117142736")</f>
        <v>chr1:117142736</v>
      </c>
      <c r="C69" s="0" t="s">
        <v>56</v>
      </c>
      <c r="D69" s="0" t="n">
        <v>117142736</v>
      </c>
      <c r="E69" s="0" t="n">
        <v>117142736</v>
      </c>
      <c r="F69" s="0" t="s">
        <v>57</v>
      </c>
      <c r="G69" s="0" t="s">
        <v>69</v>
      </c>
      <c r="H69" s="0" t="s">
        <v>589</v>
      </c>
      <c r="I69" s="0" t="s">
        <v>590</v>
      </c>
      <c r="J69" s="0" t="s">
        <v>591</v>
      </c>
      <c r="K69" s="0" t="s">
        <v>46</v>
      </c>
      <c r="L69" s="0" t="str">
        <f aca="false">HYPERLINK("https://www.ncbi.nlm.nih.gov/snp/rs75067537", "rs75067537")</f>
        <v>rs75067537</v>
      </c>
      <c r="M69" s="0" t="str">
        <f aca="false">HYPERLINK("https://www.genecards.org/Search/Keyword?queryString=%5Baliases%5D(%20IGSF3%20)&amp;keywords=IGSF3", "IGSF3")</f>
        <v>IGSF3</v>
      </c>
      <c r="N69" s="0" t="s">
        <v>98</v>
      </c>
      <c r="O69" s="0" t="s">
        <v>99</v>
      </c>
      <c r="P69" s="0" t="s">
        <v>592</v>
      </c>
      <c r="Q69" s="0" t="n">
        <v>0.0149368</v>
      </c>
      <c r="R69" s="0" t="n">
        <v>0.0013</v>
      </c>
      <c r="S69" s="0" t="n">
        <v>0.0018</v>
      </c>
      <c r="T69" s="0" t="n">
        <v>-1</v>
      </c>
      <c r="U69" s="0" t="n">
        <v>0.0041</v>
      </c>
      <c r="V69" s="0" t="s">
        <v>194</v>
      </c>
      <c r="W69" s="0" t="s">
        <v>46</v>
      </c>
      <c r="X69" s="0" t="s">
        <v>46</v>
      </c>
      <c r="Y69" s="0" t="s">
        <v>46</v>
      </c>
      <c r="Z69" s="0" t="s">
        <v>102</v>
      </c>
      <c r="AA69" s="0" t="s">
        <v>171</v>
      </c>
      <c r="AB69" s="0" t="s">
        <v>46</v>
      </c>
      <c r="AC69" s="0" t="s">
        <v>51</v>
      </c>
      <c r="AD69" s="0" t="s">
        <v>581</v>
      </c>
      <c r="AE69" s="0" t="s">
        <v>582</v>
      </c>
      <c r="AF69" s="0" t="s">
        <v>583</v>
      </c>
      <c r="AG69" s="0" t="s">
        <v>46</v>
      </c>
      <c r="AH69" s="0" t="s">
        <v>46</v>
      </c>
      <c r="AI69" s="0" t="s">
        <v>46</v>
      </c>
      <c r="AJ69" s="0" t="s">
        <v>46</v>
      </c>
      <c r="AK69" s="0" t="s">
        <v>46</v>
      </c>
      <c r="AL69" s="0" t="s">
        <v>584</v>
      </c>
    </row>
    <row r="70" customFormat="false" ht="15" hidden="false" customHeight="false" outlineLevel="0" collapsed="false">
      <c r="B70" s="0" t="str">
        <f aca="false">HYPERLINK("https://genome.ucsc.edu/cgi-bin/hgTracks?db=hg19&amp;position=chr1%3A117146504%2D117146504", "chr1:117146504")</f>
        <v>chr1:117146504</v>
      </c>
      <c r="C70" s="0" t="s">
        <v>56</v>
      </c>
      <c r="D70" s="0" t="n">
        <v>117146504</v>
      </c>
      <c r="E70" s="0" t="n">
        <v>117146504</v>
      </c>
      <c r="F70" s="0" t="s">
        <v>69</v>
      </c>
      <c r="G70" s="0" t="s">
        <v>57</v>
      </c>
      <c r="H70" s="0" t="s">
        <v>593</v>
      </c>
      <c r="I70" s="0" t="s">
        <v>59</v>
      </c>
      <c r="J70" s="0" t="s">
        <v>594</v>
      </c>
      <c r="K70" s="0" t="s">
        <v>46</v>
      </c>
      <c r="L70" s="0" t="str">
        <f aca="false">HYPERLINK("https://www.ncbi.nlm.nih.gov/snp/rs61786577", "rs61786577")</f>
        <v>rs61786577</v>
      </c>
      <c r="M70" s="0" t="str">
        <f aca="false">HYPERLINK("https://www.genecards.org/Search/Keyword?queryString=%5Baliases%5D(%20IGSF3%20)&amp;keywords=IGSF3", "IGSF3")</f>
        <v>IGSF3</v>
      </c>
      <c r="N70" s="0" t="s">
        <v>98</v>
      </c>
      <c r="O70" s="0" t="s">
        <v>99</v>
      </c>
      <c r="P70" s="0" t="s">
        <v>595</v>
      </c>
      <c r="Q70" s="0" t="n">
        <v>0.0053039</v>
      </c>
      <c r="R70" s="0" t="n">
        <v>-1</v>
      </c>
      <c r="S70" s="0" t="n">
        <v>-1</v>
      </c>
      <c r="T70" s="0" t="n">
        <v>-1</v>
      </c>
      <c r="U70" s="0" t="n">
        <v>-1</v>
      </c>
      <c r="V70" s="0" t="s">
        <v>596</v>
      </c>
      <c r="W70" s="0" t="s">
        <v>46</v>
      </c>
      <c r="X70" s="0" t="s">
        <v>46</v>
      </c>
      <c r="Y70" s="0" t="s">
        <v>46</v>
      </c>
      <c r="Z70" s="0" t="s">
        <v>231</v>
      </c>
      <c r="AA70" s="0" t="s">
        <v>171</v>
      </c>
      <c r="AB70" s="0" t="s">
        <v>46</v>
      </c>
      <c r="AC70" s="0" t="s">
        <v>51</v>
      </c>
      <c r="AD70" s="0" t="s">
        <v>581</v>
      </c>
      <c r="AE70" s="0" t="s">
        <v>582</v>
      </c>
      <c r="AF70" s="0" t="s">
        <v>583</v>
      </c>
      <c r="AG70" s="0" t="s">
        <v>46</v>
      </c>
      <c r="AH70" s="0" t="s">
        <v>46</v>
      </c>
      <c r="AI70" s="0" t="s">
        <v>46</v>
      </c>
      <c r="AJ70" s="0" t="s">
        <v>46</v>
      </c>
      <c r="AK70" s="0" t="s">
        <v>46</v>
      </c>
      <c r="AL70" s="0" t="s">
        <v>584</v>
      </c>
    </row>
    <row r="71" customFormat="false" ht="15" hidden="false" customHeight="false" outlineLevel="0" collapsed="false">
      <c r="B71" s="0" t="str">
        <f aca="false">HYPERLINK("https://genome.ucsc.edu/cgi-bin/hgTracks?db=hg19&amp;position=chr1%3A117146563%2D117146563", "chr1:117146563")</f>
        <v>chr1:117146563</v>
      </c>
      <c r="C71" s="0" t="s">
        <v>56</v>
      </c>
      <c r="D71" s="0" t="n">
        <v>117146563</v>
      </c>
      <c r="E71" s="0" t="n">
        <v>117146563</v>
      </c>
      <c r="F71" s="0" t="s">
        <v>69</v>
      </c>
      <c r="G71" s="0" t="s">
        <v>57</v>
      </c>
      <c r="H71" s="0" t="s">
        <v>597</v>
      </c>
      <c r="I71" s="0" t="s">
        <v>59</v>
      </c>
      <c r="J71" s="0" t="s">
        <v>598</v>
      </c>
      <c r="K71" s="0" t="s">
        <v>46</v>
      </c>
      <c r="L71" s="0" t="str">
        <f aca="false">HYPERLINK("https://www.ncbi.nlm.nih.gov/snp/rs61786578", "rs61786578")</f>
        <v>rs61786578</v>
      </c>
      <c r="M71" s="0" t="str">
        <f aca="false">HYPERLINK("https://www.genecards.org/Search/Keyword?queryString=%5Baliases%5D(%20IGSF3%20)&amp;keywords=IGSF3", "IGSF3")</f>
        <v>IGSF3</v>
      </c>
      <c r="N71" s="0" t="s">
        <v>98</v>
      </c>
      <c r="O71" s="0" t="s">
        <v>99</v>
      </c>
      <c r="P71" s="0" t="s">
        <v>599</v>
      </c>
      <c r="Q71" s="0" t="n">
        <v>0.0017594</v>
      </c>
      <c r="R71" s="0" t="n">
        <v>-1</v>
      </c>
      <c r="S71" s="0" t="n">
        <v>-1</v>
      </c>
      <c r="T71" s="0" t="n">
        <v>-1</v>
      </c>
      <c r="U71" s="0" t="n">
        <v>-1</v>
      </c>
      <c r="V71" s="0" t="s">
        <v>600</v>
      </c>
      <c r="W71" s="0" t="s">
        <v>46</v>
      </c>
      <c r="X71" s="0" t="s">
        <v>46</v>
      </c>
      <c r="Y71" s="0" t="s">
        <v>46</v>
      </c>
      <c r="Z71" s="0" t="s">
        <v>138</v>
      </c>
      <c r="AA71" s="0" t="s">
        <v>171</v>
      </c>
      <c r="AB71" s="0" t="s">
        <v>46</v>
      </c>
      <c r="AC71" s="0" t="s">
        <v>51</v>
      </c>
      <c r="AD71" s="0" t="s">
        <v>581</v>
      </c>
      <c r="AE71" s="0" t="s">
        <v>582</v>
      </c>
      <c r="AF71" s="0" t="s">
        <v>583</v>
      </c>
      <c r="AG71" s="0" t="s">
        <v>46</v>
      </c>
      <c r="AH71" s="0" t="s">
        <v>46</v>
      </c>
      <c r="AI71" s="0" t="s">
        <v>46</v>
      </c>
      <c r="AJ71" s="0" t="s">
        <v>46</v>
      </c>
      <c r="AK71" s="0" t="s">
        <v>46</v>
      </c>
      <c r="AL71" s="0" t="s">
        <v>584</v>
      </c>
    </row>
    <row r="72" customFormat="false" ht="15" hidden="false" customHeight="false" outlineLevel="0" collapsed="false">
      <c r="B72" s="0" t="str">
        <f aca="false">HYPERLINK("https://genome.ucsc.edu/cgi-bin/hgTracks?db=hg19&amp;position=chr1%3A117146592%2D117146592", "chr1:117146592")</f>
        <v>chr1:117146592</v>
      </c>
      <c r="C72" s="0" t="s">
        <v>56</v>
      </c>
      <c r="D72" s="0" t="n">
        <v>117146592</v>
      </c>
      <c r="E72" s="0" t="n">
        <v>117146592</v>
      </c>
      <c r="F72" s="0" t="s">
        <v>39</v>
      </c>
      <c r="G72" s="0" t="s">
        <v>69</v>
      </c>
      <c r="H72" s="0" t="s">
        <v>601</v>
      </c>
      <c r="I72" s="0" t="s">
        <v>393</v>
      </c>
      <c r="J72" s="0" t="s">
        <v>602</v>
      </c>
      <c r="K72" s="0" t="s">
        <v>46</v>
      </c>
      <c r="L72" s="0" t="str">
        <f aca="false">HYPERLINK("https://www.ncbi.nlm.nih.gov/snp/rs532709767", "rs532709767")</f>
        <v>rs532709767</v>
      </c>
      <c r="M72" s="0" t="str">
        <f aca="false">HYPERLINK("https://www.genecards.org/Search/Keyword?queryString=%5Baliases%5D(%20IGSF3%20)&amp;keywords=IGSF3", "IGSF3")</f>
        <v>IGSF3</v>
      </c>
      <c r="N72" s="0" t="s">
        <v>98</v>
      </c>
      <c r="O72" s="0" t="s">
        <v>99</v>
      </c>
      <c r="P72" s="0" t="s">
        <v>603</v>
      </c>
      <c r="Q72" s="0" t="n">
        <v>6.5E-006</v>
      </c>
      <c r="R72" s="0" t="n">
        <v>-1</v>
      </c>
      <c r="S72" s="0" t="n">
        <v>-1</v>
      </c>
      <c r="T72" s="0" t="n">
        <v>-1</v>
      </c>
      <c r="U72" s="0" t="n">
        <v>-1</v>
      </c>
      <c r="V72" s="0" t="s">
        <v>502</v>
      </c>
      <c r="W72" s="0" t="s">
        <v>46</v>
      </c>
      <c r="X72" s="0" t="s">
        <v>46</v>
      </c>
      <c r="Y72" s="0" t="s">
        <v>46</v>
      </c>
      <c r="Z72" s="0" t="s">
        <v>49</v>
      </c>
      <c r="AA72" s="0" t="s">
        <v>171</v>
      </c>
      <c r="AB72" s="0" t="s">
        <v>46</v>
      </c>
      <c r="AC72" s="0" t="s">
        <v>51</v>
      </c>
      <c r="AD72" s="0" t="s">
        <v>581</v>
      </c>
      <c r="AE72" s="0" t="s">
        <v>582</v>
      </c>
      <c r="AF72" s="0" t="s">
        <v>583</v>
      </c>
      <c r="AG72" s="0" t="s">
        <v>46</v>
      </c>
      <c r="AH72" s="0" t="s">
        <v>46</v>
      </c>
      <c r="AI72" s="0" t="s">
        <v>46</v>
      </c>
      <c r="AJ72" s="0" t="s">
        <v>46</v>
      </c>
      <c r="AK72" s="0" t="s">
        <v>46</v>
      </c>
      <c r="AL72" s="0" t="s">
        <v>584</v>
      </c>
    </row>
    <row r="73" customFormat="false" ht="15" hidden="false" customHeight="false" outlineLevel="0" collapsed="false">
      <c r="B73" s="0" t="str">
        <f aca="false">HYPERLINK("https://genome.ucsc.edu/cgi-bin/hgTracks?db=hg19&amp;position=chr1%3A117156459%2D117156459", "chr1:117156459")</f>
        <v>chr1:117156459</v>
      </c>
      <c r="C73" s="0" t="s">
        <v>56</v>
      </c>
      <c r="D73" s="0" t="n">
        <v>117156459</v>
      </c>
      <c r="E73" s="0" t="n">
        <v>117156459</v>
      </c>
      <c r="F73" s="0" t="s">
        <v>39</v>
      </c>
      <c r="G73" s="0" t="s">
        <v>40</v>
      </c>
      <c r="H73" s="0" t="s">
        <v>604</v>
      </c>
      <c r="I73" s="0" t="s">
        <v>605</v>
      </c>
      <c r="J73" s="0" t="s">
        <v>606</v>
      </c>
      <c r="K73" s="0" t="s">
        <v>46</v>
      </c>
      <c r="L73" s="0" t="str">
        <f aca="false">HYPERLINK("https://www.ncbi.nlm.nih.gov/snp/rs61786651", "rs61786651")</f>
        <v>rs61786651</v>
      </c>
      <c r="M73" s="0" t="str">
        <f aca="false">HYPERLINK("https://www.genecards.org/Search/Keyword?queryString=%5Baliases%5D(%20IGSF3%20)&amp;keywords=IGSF3", "IGSF3")</f>
        <v>IGSF3</v>
      </c>
      <c r="N73" s="0" t="s">
        <v>98</v>
      </c>
      <c r="O73" s="0" t="s">
        <v>99</v>
      </c>
      <c r="P73" s="0" t="s">
        <v>607</v>
      </c>
      <c r="Q73" s="0" t="n">
        <v>0.0043208</v>
      </c>
      <c r="R73" s="0" t="n">
        <v>-1</v>
      </c>
      <c r="S73" s="0" t="n">
        <v>-1</v>
      </c>
      <c r="T73" s="0" t="n">
        <v>-1</v>
      </c>
      <c r="U73" s="0" t="n">
        <v>-1</v>
      </c>
      <c r="V73" s="0" t="s">
        <v>608</v>
      </c>
      <c r="W73" s="0" t="s">
        <v>46</v>
      </c>
      <c r="X73" s="0" t="s">
        <v>46</v>
      </c>
      <c r="Y73" s="0" t="s">
        <v>46</v>
      </c>
      <c r="Z73" s="0" t="s">
        <v>231</v>
      </c>
      <c r="AA73" s="0" t="s">
        <v>171</v>
      </c>
      <c r="AB73" s="0" t="s">
        <v>46</v>
      </c>
      <c r="AC73" s="0" t="s">
        <v>51</v>
      </c>
      <c r="AD73" s="0" t="s">
        <v>581</v>
      </c>
      <c r="AE73" s="0" t="s">
        <v>582</v>
      </c>
      <c r="AF73" s="0" t="s">
        <v>583</v>
      </c>
      <c r="AG73" s="0" t="s">
        <v>46</v>
      </c>
      <c r="AH73" s="0" t="s">
        <v>46</v>
      </c>
      <c r="AI73" s="0" t="s">
        <v>46</v>
      </c>
      <c r="AJ73" s="0" t="s">
        <v>46</v>
      </c>
      <c r="AK73" s="0" t="s">
        <v>46</v>
      </c>
      <c r="AL73" s="0" t="s">
        <v>609</v>
      </c>
    </row>
    <row r="74" customFormat="false" ht="15" hidden="false" customHeight="false" outlineLevel="0" collapsed="false">
      <c r="B74" s="0" t="str">
        <f aca="false">HYPERLINK("https://genome.ucsc.edu/cgi-bin/hgTracks?db=hg19&amp;position=chr1%3A117156584%2D117156584", "chr1:117156584")</f>
        <v>chr1:117156584</v>
      </c>
      <c r="C74" s="0" t="s">
        <v>56</v>
      </c>
      <c r="D74" s="0" t="n">
        <v>117156584</v>
      </c>
      <c r="E74" s="0" t="n">
        <v>117156584</v>
      </c>
      <c r="F74" s="0" t="s">
        <v>40</v>
      </c>
      <c r="G74" s="0" t="s">
        <v>39</v>
      </c>
      <c r="H74" s="0" t="s">
        <v>610</v>
      </c>
      <c r="I74" s="0" t="s">
        <v>611</v>
      </c>
      <c r="J74" s="0" t="s">
        <v>612</v>
      </c>
      <c r="K74" s="0" t="s">
        <v>46</v>
      </c>
      <c r="L74" s="0" t="str">
        <f aca="false">HYPERLINK("https://www.ncbi.nlm.nih.gov/snp/rs143106517", "rs143106517")</f>
        <v>rs143106517</v>
      </c>
      <c r="M74" s="0" t="str">
        <f aca="false">HYPERLINK("https://www.genecards.org/Search/Keyword?queryString=%5Baliases%5D(%20IGSF3%20)&amp;keywords=IGSF3", "IGSF3")</f>
        <v>IGSF3</v>
      </c>
      <c r="N74" s="0" t="s">
        <v>98</v>
      </c>
      <c r="O74" s="0" t="s">
        <v>99</v>
      </c>
      <c r="P74" s="0" t="s">
        <v>613</v>
      </c>
      <c r="Q74" s="0" t="n">
        <v>0.0012742</v>
      </c>
      <c r="R74" s="0" t="n">
        <v>-1</v>
      </c>
      <c r="S74" s="0" t="n">
        <v>-1</v>
      </c>
      <c r="T74" s="0" t="n">
        <v>-1</v>
      </c>
      <c r="U74" s="0" t="n">
        <v>-1</v>
      </c>
      <c r="V74" s="0" t="s">
        <v>596</v>
      </c>
      <c r="W74" s="0" t="s">
        <v>46</v>
      </c>
      <c r="X74" s="0" t="s">
        <v>46</v>
      </c>
      <c r="Y74" s="0" t="s">
        <v>46</v>
      </c>
      <c r="Z74" s="0" t="s">
        <v>231</v>
      </c>
      <c r="AA74" s="0" t="s">
        <v>171</v>
      </c>
      <c r="AB74" s="0" t="s">
        <v>46</v>
      </c>
      <c r="AC74" s="0" t="s">
        <v>51</v>
      </c>
      <c r="AD74" s="0" t="s">
        <v>581</v>
      </c>
      <c r="AE74" s="0" t="s">
        <v>582</v>
      </c>
      <c r="AF74" s="0" t="s">
        <v>583</v>
      </c>
      <c r="AG74" s="0" t="s">
        <v>46</v>
      </c>
      <c r="AH74" s="0" t="s">
        <v>46</v>
      </c>
      <c r="AI74" s="0" t="s">
        <v>46</v>
      </c>
      <c r="AJ74" s="0" t="s">
        <v>46</v>
      </c>
      <c r="AK74" s="0" t="s">
        <v>46</v>
      </c>
      <c r="AL74" s="0" t="s">
        <v>609</v>
      </c>
    </row>
    <row r="75" customFormat="false" ht="15" hidden="false" customHeight="false" outlineLevel="0" collapsed="false">
      <c r="B75" s="0" t="str">
        <f aca="false">HYPERLINK("https://genome.ucsc.edu/cgi-bin/hgTracks?db=hg19&amp;position=chr1%3A117156600%2D117156600", "chr1:117156600")</f>
        <v>chr1:117156600</v>
      </c>
      <c r="C75" s="0" t="s">
        <v>56</v>
      </c>
      <c r="D75" s="0" t="n">
        <v>117156600</v>
      </c>
      <c r="E75" s="0" t="n">
        <v>117156600</v>
      </c>
      <c r="F75" s="0" t="s">
        <v>40</v>
      </c>
      <c r="G75" s="0" t="s">
        <v>39</v>
      </c>
      <c r="H75" s="0" t="s">
        <v>614</v>
      </c>
      <c r="I75" s="0" t="s">
        <v>611</v>
      </c>
      <c r="J75" s="0" t="s">
        <v>615</v>
      </c>
      <c r="K75" s="0" t="s">
        <v>46</v>
      </c>
      <c r="L75" s="0" t="str">
        <f aca="false">HYPERLINK("https://www.ncbi.nlm.nih.gov/snp/rs547741844", "rs547741844")</f>
        <v>rs547741844</v>
      </c>
      <c r="M75" s="0" t="str">
        <f aca="false">HYPERLINK("https://www.genecards.org/Search/Keyword?queryString=%5Baliases%5D(%20IGSF3%20)&amp;keywords=IGSF3", "IGSF3")</f>
        <v>IGSF3</v>
      </c>
      <c r="N75" s="0" t="s">
        <v>98</v>
      </c>
      <c r="O75" s="0" t="s">
        <v>99</v>
      </c>
      <c r="P75" s="0" t="s">
        <v>616</v>
      </c>
      <c r="Q75" s="0" t="n">
        <v>0.0003816</v>
      </c>
      <c r="R75" s="0" t="n">
        <v>-1</v>
      </c>
      <c r="S75" s="0" t="n">
        <v>-1</v>
      </c>
      <c r="T75" s="0" t="n">
        <v>-1</v>
      </c>
      <c r="U75" s="0" t="n">
        <v>-1</v>
      </c>
      <c r="V75" s="0" t="s">
        <v>600</v>
      </c>
      <c r="W75" s="0" t="s">
        <v>46</v>
      </c>
      <c r="X75" s="0" t="s">
        <v>46</v>
      </c>
      <c r="Y75" s="0" t="s">
        <v>46</v>
      </c>
      <c r="Z75" s="0" t="s">
        <v>138</v>
      </c>
      <c r="AA75" s="0" t="s">
        <v>171</v>
      </c>
      <c r="AB75" s="0" t="s">
        <v>46</v>
      </c>
      <c r="AC75" s="0" t="s">
        <v>51</v>
      </c>
      <c r="AD75" s="0" t="s">
        <v>581</v>
      </c>
      <c r="AE75" s="0" t="s">
        <v>582</v>
      </c>
      <c r="AF75" s="0" t="s">
        <v>583</v>
      </c>
      <c r="AG75" s="0" t="s">
        <v>46</v>
      </c>
      <c r="AH75" s="0" t="s">
        <v>46</v>
      </c>
      <c r="AI75" s="0" t="s">
        <v>46</v>
      </c>
      <c r="AJ75" s="0" t="s">
        <v>46</v>
      </c>
      <c r="AK75" s="0" t="s">
        <v>46</v>
      </c>
      <c r="AL75" s="0" t="s">
        <v>609</v>
      </c>
    </row>
    <row r="76" customFormat="false" ht="15" hidden="false" customHeight="false" outlineLevel="0" collapsed="false">
      <c r="B76" s="0" t="str">
        <f aca="false">HYPERLINK("https://genome.ucsc.edu/cgi-bin/hgTracks?db=hg19&amp;position=chr1%3A152060564%2D152060564", "chr1:152060564")</f>
        <v>chr1:152060564</v>
      </c>
      <c r="C76" s="0" t="s">
        <v>56</v>
      </c>
      <c r="D76" s="0" t="n">
        <v>152060564</v>
      </c>
      <c r="E76" s="0" t="n">
        <v>152060564</v>
      </c>
      <c r="F76" s="0" t="s">
        <v>69</v>
      </c>
      <c r="G76" s="0" t="s">
        <v>39</v>
      </c>
      <c r="H76" s="0" t="s">
        <v>617</v>
      </c>
      <c r="I76" s="0" t="s">
        <v>618</v>
      </c>
      <c r="J76" s="0" t="s">
        <v>619</v>
      </c>
      <c r="K76" s="0" t="s">
        <v>46</v>
      </c>
      <c r="L76" s="0" t="str">
        <f aca="false">HYPERLINK("https://www.ncbi.nlm.nih.gov/snp/rs142056537", "rs142056537")</f>
        <v>rs142056537</v>
      </c>
      <c r="M76" s="0" t="str">
        <f aca="false">HYPERLINK("https://www.genecards.org/Search/Keyword?queryString=%5Baliases%5D(%20TCHHL1%20)&amp;keywords=TCHHL1", "TCHHL1")</f>
        <v>TCHHL1</v>
      </c>
      <c r="N76" s="0" t="s">
        <v>98</v>
      </c>
      <c r="O76" s="0" t="s">
        <v>99</v>
      </c>
      <c r="P76" s="0" t="s">
        <v>620</v>
      </c>
      <c r="Q76" s="0" t="n">
        <v>0.0076</v>
      </c>
      <c r="R76" s="0" t="n">
        <v>0.0088</v>
      </c>
      <c r="S76" s="0" t="n">
        <v>0.0079</v>
      </c>
      <c r="T76" s="0" t="n">
        <v>-1</v>
      </c>
      <c r="U76" s="0" t="n">
        <v>0.0143</v>
      </c>
      <c r="V76" s="0" t="s">
        <v>194</v>
      </c>
      <c r="W76" s="0" t="s">
        <v>46</v>
      </c>
      <c r="X76" s="0" t="s">
        <v>46</v>
      </c>
      <c r="Y76" s="0" t="s">
        <v>46</v>
      </c>
      <c r="Z76" s="0" t="s">
        <v>231</v>
      </c>
      <c r="AA76" s="0" t="s">
        <v>171</v>
      </c>
      <c r="AB76" s="0" t="s">
        <v>46</v>
      </c>
      <c r="AC76" s="0" t="s">
        <v>51</v>
      </c>
      <c r="AD76" s="0" t="s">
        <v>52</v>
      </c>
      <c r="AE76" s="0" t="s">
        <v>621</v>
      </c>
      <c r="AF76" s="0" t="s">
        <v>622</v>
      </c>
      <c r="AG76" s="0" t="s">
        <v>46</v>
      </c>
      <c r="AH76" s="0" t="s">
        <v>46</v>
      </c>
      <c r="AI76" s="0" t="s">
        <v>46</v>
      </c>
      <c r="AJ76" s="0" t="s">
        <v>46</v>
      </c>
      <c r="AK76" s="0" t="s">
        <v>46</v>
      </c>
      <c r="AL76" s="0" t="s">
        <v>46</v>
      </c>
    </row>
    <row r="77" customFormat="false" ht="15" hidden="false" customHeight="false" outlineLevel="0" collapsed="false">
      <c r="B77" s="0" t="str">
        <f aca="false">HYPERLINK("https://genome.ucsc.edu/cgi-bin/hgTracks?db=hg19&amp;position=chr1%3A156255448%2D156255448", "chr1:156255448")</f>
        <v>chr1:156255448</v>
      </c>
      <c r="C77" s="0" t="s">
        <v>56</v>
      </c>
      <c r="D77" s="0" t="n">
        <v>156255448</v>
      </c>
      <c r="E77" s="0" t="n">
        <v>156255448</v>
      </c>
      <c r="F77" s="0" t="s">
        <v>57</v>
      </c>
      <c r="G77" s="0" t="s">
        <v>69</v>
      </c>
      <c r="H77" s="0" t="s">
        <v>623</v>
      </c>
      <c r="I77" s="0" t="s">
        <v>624</v>
      </c>
      <c r="J77" s="0" t="s">
        <v>625</v>
      </c>
      <c r="K77" s="0" t="s">
        <v>46</v>
      </c>
      <c r="L77" s="0" t="str">
        <f aca="false">HYPERLINK("https://www.ncbi.nlm.nih.gov/snp/rs116664767", "rs116664767")</f>
        <v>rs116664767</v>
      </c>
      <c r="M77" s="0" t="str">
        <f aca="false">HYPERLINK("https://www.genecards.org/Search/Keyword?queryString=%5Baliases%5D(%20TMEM79%20)&amp;keywords=TMEM79", "TMEM79")</f>
        <v>TMEM79</v>
      </c>
      <c r="N77" s="0" t="s">
        <v>98</v>
      </c>
      <c r="O77" s="0" t="s">
        <v>99</v>
      </c>
      <c r="P77" s="0" t="s">
        <v>626</v>
      </c>
      <c r="Q77" s="0" t="n">
        <v>0.0111</v>
      </c>
      <c r="R77" s="0" t="n">
        <v>0.0111</v>
      </c>
      <c r="S77" s="0" t="n">
        <v>0.0111</v>
      </c>
      <c r="T77" s="0" t="n">
        <v>-1</v>
      </c>
      <c r="U77" s="0" t="n">
        <v>0.0073</v>
      </c>
      <c r="V77" s="0" t="s">
        <v>148</v>
      </c>
      <c r="W77" s="0" t="s">
        <v>46</v>
      </c>
      <c r="X77" s="0" t="s">
        <v>46</v>
      </c>
      <c r="Y77" s="0" t="s">
        <v>46</v>
      </c>
      <c r="Z77" s="0" t="s">
        <v>138</v>
      </c>
      <c r="AA77" s="0" t="s">
        <v>171</v>
      </c>
      <c r="AB77" s="0" t="s">
        <v>46</v>
      </c>
      <c r="AC77" s="0" t="s">
        <v>51</v>
      </c>
      <c r="AD77" s="0" t="s">
        <v>52</v>
      </c>
      <c r="AE77" s="0" t="s">
        <v>627</v>
      </c>
      <c r="AF77" s="0" t="s">
        <v>628</v>
      </c>
      <c r="AG77" s="0" t="s">
        <v>629</v>
      </c>
      <c r="AH77" s="0" t="s">
        <v>46</v>
      </c>
      <c r="AI77" s="0" t="s">
        <v>46</v>
      </c>
      <c r="AJ77" s="0" t="s">
        <v>46</v>
      </c>
      <c r="AK77" s="0" t="s">
        <v>46</v>
      </c>
      <c r="AL77" s="0" t="s">
        <v>46</v>
      </c>
    </row>
    <row r="78" customFormat="false" ht="15" hidden="false" customHeight="false" outlineLevel="0" collapsed="false">
      <c r="B78" s="0" t="str">
        <f aca="false">HYPERLINK("https://genome.ucsc.edu/cgi-bin/hgTracks?db=hg19&amp;position=chr1%3A161200924%2D161200924", "chr1:161200924")</f>
        <v>chr1:161200924</v>
      </c>
      <c r="C78" s="0" t="s">
        <v>56</v>
      </c>
      <c r="D78" s="0" t="n">
        <v>161200924</v>
      </c>
      <c r="E78" s="0" t="n">
        <v>161200924</v>
      </c>
      <c r="F78" s="0" t="s">
        <v>57</v>
      </c>
      <c r="G78" s="0" t="s">
        <v>69</v>
      </c>
      <c r="H78" s="0" t="s">
        <v>630</v>
      </c>
      <c r="I78" s="0" t="s">
        <v>631</v>
      </c>
      <c r="J78" s="0" t="s">
        <v>632</v>
      </c>
      <c r="K78" s="0" t="s">
        <v>46</v>
      </c>
      <c r="L78" s="0" t="s">
        <v>46</v>
      </c>
      <c r="M78" s="0" t="str">
        <f aca="false">HYPERLINK("https://www.genecards.org/Search/Keyword?queryString=%5Baliases%5D(%20NR1I3%20)&amp;keywords=NR1I3", "NR1I3")</f>
        <v>NR1I3</v>
      </c>
      <c r="N78" s="0" t="s">
        <v>98</v>
      </c>
      <c r="O78" s="0" t="s">
        <v>99</v>
      </c>
      <c r="P78" s="0" t="s">
        <v>633</v>
      </c>
      <c r="Q78" s="0" t="n">
        <v>-1</v>
      </c>
      <c r="R78" s="0" t="n">
        <v>-1</v>
      </c>
      <c r="S78" s="0" t="n">
        <v>-1</v>
      </c>
      <c r="T78" s="0" t="n">
        <v>-1</v>
      </c>
      <c r="U78" s="0" t="n">
        <v>-1</v>
      </c>
      <c r="V78" s="0" t="s">
        <v>608</v>
      </c>
      <c r="W78" s="0" t="s">
        <v>46</v>
      </c>
      <c r="X78" s="0" t="s">
        <v>46</v>
      </c>
      <c r="Y78" s="0" t="s">
        <v>46</v>
      </c>
      <c r="Z78" s="0" t="s">
        <v>138</v>
      </c>
      <c r="AA78" s="0" t="s">
        <v>171</v>
      </c>
      <c r="AB78" s="0" t="s">
        <v>46</v>
      </c>
      <c r="AC78" s="0" t="s">
        <v>51</v>
      </c>
      <c r="AD78" s="0" t="s">
        <v>52</v>
      </c>
      <c r="AE78" s="0" t="s">
        <v>634</v>
      </c>
      <c r="AF78" s="0" t="s">
        <v>635</v>
      </c>
      <c r="AG78" s="0" t="s">
        <v>636</v>
      </c>
      <c r="AH78" s="0" t="s">
        <v>46</v>
      </c>
      <c r="AI78" s="0" t="s">
        <v>46</v>
      </c>
      <c r="AJ78" s="0" t="s">
        <v>46</v>
      </c>
      <c r="AK78" s="0" t="s">
        <v>46</v>
      </c>
      <c r="AL78" s="0" t="s">
        <v>46</v>
      </c>
    </row>
    <row r="79" customFormat="false" ht="15" hidden="false" customHeight="false" outlineLevel="0" collapsed="false">
      <c r="B79" s="0" t="str">
        <f aca="false">HYPERLINK("https://genome.ucsc.edu/cgi-bin/hgTracks?db=hg19&amp;position=chr1%3A166818665%2D166818665", "chr1:166818665")</f>
        <v>chr1:166818665</v>
      </c>
      <c r="C79" s="0" t="s">
        <v>56</v>
      </c>
      <c r="D79" s="0" t="n">
        <v>166818665</v>
      </c>
      <c r="E79" s="0" t="n">
        <v>166818665</v>
      </c>
      <c r="F79" s="0" t="s">
        <v>69</v>
      </c>
      <c r="G79" s="0" t="s">
        <v>40</v>
      </c>
      <c r="H79" s="0" t="s">
        <v>637</v>
      </c>
      <c r="I79" s="0" t="s">
        <v>638</v>
      </c>
      <c r="J79" s="0" t="s">
        <v>639</v>
      </c>
      <c r="K79" s="0" t="s">
        <v>46</v>
      </c>
      <c r="L79" s="0" t="s">
        <v>46</v>
      </c>
      <c r="M79" s="0" t="str">
        <f aca="false">HYPERLINK("https://www.genecards.org/Search/Keyword?queryString=%5Baliases%5D(%20POGK%20)&amp;keywords=POGK", "POGK")</f>
        <v>POGK</v>
      </c>
      <c r="N79" s="0" t="s">
        <v>98</v>
      </c>
      <c r="O79" s="0" t="s">
        <v>99</v>
      </c>
      <c r="P79" s="0" t="s">
        <v>640</v>
      </c>
      <c r="Q79" s="0" t="n">
        <v>-1</v>
      </c>
      <c r="R79" s="0" t="n">
        <v>-1</v>
      </c>
      <c r="S79" s="0" t="n">
        <v>-1</v>
      </c>
      <c r="T79" s="0" t="n">
        <v>-1</v>
      </c>
      <c r="U79" s="0" t="n">
        <v>-1</v>
      </c>
      <c r="V79" s="0" t="s">
        <v>502</v>
      </c>
      <c r="W79" s="0" t="s">
        <v>46</v>
      </c>
      <c r="X79" s="0" t="s">
        <v>46</v>
      </c>
      <c r="Y79" s="0" t="s">
        <v>46</v>
      </c>
      <c r="Z79" s="0" t="s">
        <v>138</v>
      </c>
      <c r="AA79" s="0" t="s">
        <v>171</v>
      </c>
      <c r="AB79" s="0" t="s">
        <v>46</v>
      </c>
      <c r="AC79" s="0" t="s">
        <v>51</v>
      </c>
      <c r="AD79" s="0" t="s">
        <v>52</v>
      </c>
      <c r="AE79" s="0" t="s">
        <v>641</v>
      </c>
      <c r="AF79" s="0" t="s">
        <v>642</v>
      </c>
      <c r="AG79" s="0" t="s">
        <v>46</v>
      </c>
      <c r="AH79" s="0" t="s">
        <v>46</v>
      </c>
      <c r="AI79" s="0" t="s">
        <v>46</v>
      </c>
      <c r="AJ79" s="0" t="s">
        <v>46</v>
      </c>
      <c r="AK79" s="0" t="s">
        <v>46</v>
      </c>
      <c r="AL79" s="0" t="s">
        <v>46</v>
      </c>
    </row>
    <row r="80" customFormat="false" ht="15" hidden="false" customHeight="false" outlineLevel="0" collapsed="false">
      <c r="B80" s="0" t="str">
        <f aca="false">HYPERLINK("https://genome.ucsc.edu/cgi-bin/hgTracks?db=hg19&amp;position=chr1%3A202288189%2D202288189", "chr1:202288189")</f>
        <v>chr1:202288189</v>
      </c>
      <c r="C80" s="0" t="s">
        <v>56</v>
      </c>
      <c r="D80" s="0" t="n">
        <v>202288189</v>
      </c>
      <c r="E80" s="0" t="n">
        <v>202288189</v>
      </c>
      <c r="F80" s="0" t="s">
        <v>39</v>
      </c>
      <c r="G80" s="0" t="s">
        <v>57</v>
      </c>
      <c r="H80" s="0" t="s">
        <v>643</v>
      </c>
      <c r="I80" s="0" t="s">
        <v>361</v>
      </c>
      <c r="J80" s="0" t="s">
        <v>362</v>
      </c>
      <c r="K80" s="0" t="s">
        <v>46</v>
      </c>
      <c r="L80" s="0" t="str">
        <f aca="false">HYPERLINK("https://www.ncbi.nlm.nih.gov/snp/rs140080233", "rs140080233")</f>
        <v>rs140080233</v>
      </c>
      <c r="M80" s="0" t="str">
        <f aca="false">HYPERLINK("https://www.genecards.org/Search/Keyword?queryString=%5Baliases%5D(%20LGR6%20)&amp;keywords=LGR6", "LGR6")</f>
        <v>LGR6</v>
      </c>
      <c r="N80" s="0" t="s">
        <v>98</v>
      </c>
      <c r="O80" s="0" t="s">
        <v>99</v>
      </c>
      <c r="P80" s="0" t="s">
        <v>644</v>
      </c>
      <c r="Q80" s="0" t="n">
        <v>0.005</v>
      </c>
      <c r="R80" s="0" t="n">
        <v>0.0019</v>
      </c>
      <c r="S80" s="0" t="n">
        <v>0.002</v>
      </c>
      <c r="T80" s="0" t="n">
        <v>-1</v>
      </c>
      <c r="U80" s="0" t="n">
        <v>0.0007</v>
      </c>
      <c r="V80" s="0" t="s">
        <v>215</v>
      </c>
      <c r="W80" s="0" t="s">
        <v>46</v>
      </c>
      <c r="X80" s="0" t="s">
        <v>46</v>
      </c>
      <c r="Y80" s="0" t="s">
        <v>46</v>
      </c>
      <c r="Z80" s="0" t="s">
        <v>49</v>
      </c>
      <c r="AA80" s="0" t="s">
        <v>171</v>
      </c>
      <c r="AB80" s="0" t="s">
        <v>46</v>
      </c>
      <c r="AC80" s="0" t="s">
        <v>51</v>
      </c>
      <c r="AD80" s="0" t="s">
        <v>52</v>
      </c>
      <c r="AE80" s="0" t="s">
        <v>645</v>
      </c>
      <c r="AF80" s="0" t="s">
        <v>646</v>
      </c>
      <c r="AG80" s="0" t="s">
        <v>647</v>
      </c>
      <c r="AH80" s="0" t="s">
        <v>46</v>
      </c>
      <c r="AI80" s="0" t="s">
        <v>46</v>
      </c>
      <c r="AJ80" s="0" t="s">
        <v>46</v>
      </c>
      <c r="AK80" s="0" t="s">
        <v>46</v>
      </c>
      <c r="AL80" s="0" t="s">
        <v>46</v>
      </c>
    </row>
    <row r="81" customFormat="false" ht="15" hidden="false" customHeight="false" outlineLevel="0" collapsed="false">
      <c r="B81" s="0" t="str">
        <f aca="false">HYPERLINK("https://genome.ucsc.edu/cgi-bin/hgTracks?db=hg19&amp;position=chr1%3A203053787%2D203053787", "chr1:203053787")</f>
        <v>chr1:203053787</v>
      </c>
      <c r="C81" s="0" t="s">
        <v>56</v>
      </c>
      <c r="D81" s="0" t="n">
        <v>203053787</v>
      </c>
      <c r="E81" s="0" t="n">
        <v>203053787</v>
      </c>
      <c r="F81" s="0" t="s">
        <v>39</v>
      </c>
      <c r="G81" s="0" t="s">
        <v>40</v>
      </c>
      <c r="H81" s="0" t="s">
        <v>648</v>
      </c>
      <c r="I81" s="0" t="s">
        <v>427</v>
      </c>
      <c r="J81" s="0" t="s">
        <v>649</v>
      </c>
      <c r="K81" s="0" t="s">
        <v>46</v>
      </c>
      <c r="L81" s="0" t="str">
        <f aca="false">HYPERLINK("https://www.ncbi.nlm.nih.gov/snp/rs138360992", "rs138360992")</f>
        <v>rs138360992</v>
      </c>
      <c r="M81" s="0" t="str">
        <f aca="false">HYPERLINK("https://www.genecards.org/Search/Keyword?queryString=%5Baliases%5D(%20MYOG%20)&amp;keywords=MYOG", "MYOG")</f>
        <v>MYOG</v>
      </c>
      <c r="N81" s="0" t="s">
        <v>98</v>
      </c>
      <c r="O81" s="0" t="s">
        <v>99</v>
      </c>
      <c r="P81" s="0" t="s">
        <v>650</v>
      </c>
      <c r="Q81" s="0" t="n">
        <v>0.0139</v>
      </c>
      <c r="R81" s="0" t="n">
        <v>0.012</v>
      </c>
      <c r="S81" s="0" t="n">
        <v>0.0125</v>
      </c>
      <c r="T81" s="0" t="n">
        <v>-1</v>
      </c>
      <c r="U81" s="0" t="n">
        <v>0.0109</v>
      </c>
      <c r="V81" s="0" t="s">
        <v>148</v>
      </c>
      <c r="W81" s="0" t="s">
        <v>46</v>
      </c>
      <c r="X81" s="0" t="s">
        <v>46</v>
      </c>
      <c r="Y81" s="0" t="s">
        <v>46</v>
      </c>
      <c r="Z81" s="0" t="s">
        <v>49</v>
      </c>
      <c r="AA81" s="0" t="s">
        <v>171</v>
      </c>
      <c r="AB81" s="0" t="s">
        <v>46</v>
      </c>
      <c r="AC81" s="0" t="s">
        <v>51</v>
      </c>
      <c r="AD81" s="0" t="s">
        <v>52</v>
      </c>
      <c r="AE81" s="0" t="s">
        <v>651</v>
      </c>
      <c r="AF81" s="0" t="s">
        <v>652</v>
      </c>
      <c r="AG81" s="0" t="s">
        <v>653</v>
      </c>
      <c r="AH81" s="0" t="s">
        <v>46</v>
      </c>
      <c r="AI81" s="0" t="s">
        <v>46</v>
      </c>
      <c r="AJ81" s="0" t="s">
        <v>46</v>
      </c>
      <c r="AK81" s="0" t="s">
        <v>46</v>
      </c>
      <c r="AL81" s="0" t="s">
        <v>46</v>
      </c>
    </row>
    <row r="82" customFormat="false" ht="15" hidden="false" customHeight="false" outlineLevel="0" collapsed="false">
      <c r="B82" s="0" t="str">
        <f aca="false">HYPERLINK("https://genome.ucsc.edu/cgi-bin/hgTracks?db=hg19&amp;position=chr1%3A207073701%2D207073701", "chr1:207073701")</f>
        <v>chr1:207073701</v>
      </c>
      <c r="C82" s="0" t="s">
        <v>56</v>
      </c>
      <c r="D82" s="0" t="n">
        <v>207073701</v>
      </c>
      <c r="E82" s="0" t="n">
        <v>207073701</v>
      </c>
      <c r="F82" s="0" t="s">
        <v>39</v>
      </c>
      <c r="G82" s="0" t="s">
        <v>40</v>
      </c>
      <c r="H82" s="0" t="s">
        <v>654</v>
      </c>
      <c r="I82" s="0" t="s">
        <v>154</v>
      </c>
      <c r="J82" s="0" t="s">
        <v>655</v>
      </c>
      <c r="K82" s="0" t="s">
        <v>46</v>
      </c>
      <c r="L82" s="0" t="str">
        <f aca="false">HYPERLINK("https://www.ncbi.nlm.nih.gov/snp/rs142816743", "rs142816743")</f>
        <v>rs142816743</v>
      </c>
      <c r="M82" s="0" t="str">
        <f aca="false">HYPERLINK("https://www.genecards.org/Search/Keyword?queryString=%5Baliases%5D(%20IL24%20)&amp;keywords=IL24", "IL24")</f>
        <v>IL24</v>
      </c>
      <c r="N82" s="0" t="s">
        <v>98</v>
      </c>
      <c r="O82" s="0" t="s">
        <v>99</v>
      </c>
      <c r="P82" s="0" t="s">
        <v>656</v>
      </c>
      <c r="Q82" s="0" t="n">
        <v>0.005051</v>
      </c>
      <c r="R82" s="0" t="n">
        <v>0.0026</v>
      </c>
      <c r="S82" s="0" t="n">
        <v>0.0022</v>
      </c>
      <c r="T82" s="0" t="n">
        <v>-1</v>
      </c>
      <c r="U82" s="0" t="n">
        <v>0.0029</v>
      </c>
      <c r="V82" s="0" t="s">
        <v>314</v>
      </c>
      <c r="W82" s="0" t="s">
        <v>40</v>
      </c>
      <c r="X82" s="0" t="s">
        <v>46</v>
      </c>
      <c r="Y82" s="0" t="s">
        <v>46</v>
      </c>
      <c r="Z82" s="0" t="s">
        <v>138</v>
      </c>
      <c r="AA82" s="0" t="s">
        <v>171</v>
      </c>
      <c r="AB82" s="0" t="s">
        <v>46</v>
      </c>
      <c r="AC82" s="0" t="s">
        <v>51</v>
      </c>
      <c r="AD82" s="0" t="s">
        <v>52</v>
      </c>
      <c r="AE82" s="0" t="s">
        <v>657</v>
      </c>
      <c r="AF82" s="0" t="s">
        <v>658</v>
      </c>
      <c r="AG82" s="0" t="s">
        <v>659</v>
      </c>
      <c r="AH82" s="0" t="s">
        <v>46</v>
      </c>
      <c r="AI82" s="0" t="s">
        <v>46</v>
      </c>
      <c r="AJ82" s="0" t="s">
        <v>46</v>
      </c>
      <c r="AK82" s="0" t="s">
        <v>46</v>
      </c>
      <c r="AL82" s="0" t="s">
        <v>46</v>
      </c>
    </row>
    <row r="83" customFormat="false" ht="15" hidden="false" customHeight="false" outlineLevel="0" collapsed="false">
      <c r="B83" s="0" t="str">
        <f aca="false">HYPERLINK("https://genome.ucsc.edu/cgi-bin/hgTracks?db=hg19&amp;position=chr1%3A207224290%2D207224290", "chr1:207224290")</f>
        <v>chr1:207224290</v>
      </c>
      <c r="C83" s="0" t="s">
        <v>56</v>
      </c>
      <c r="D83" s="0" t="n">
        <v>207224290</v>
      </c>
      <c r="E83" s="0" t="n">
        <v>207224290</v>
      </c>
      <c r="F83" s="0" t="s">
        <v>69</v>
      </c>
      <c r="G83" s="0" t="s">
        <v>57</v>
      </c>
      <c r="H83" s="0" t="s">
        <v>660</v>
      </c>
      <c r="I83" s="0" t="s">
        <v>379</v>
      </c>
      <c r="J83" s="0" t="s">
        <v>661</v>
      </c>
      <c r="K83" s="0" t="s">
        <v>46</v>
      </c>
      <c r="L83" s="0" t="str">
        <f aca="false">HYPERLINK("https://www.ncbi.nlm.nih.gov/snp/rs201269070", "rs201269070")</f>
        <v>rs201269070</v>
      </c>
      <c r="M83" s="0" t="str">
        <f aca="false">HYPERLINK("https://www.genecards.org/Search/Keyword?queryString=%5Baliases%5D(%20YOD1%20)&amp;keywords=YOD1", "YOD1")</f>
        <v>YOD1</v>
      </c>
      <c r="N83" s="0" t="s">
        <v>98</v>
      </c>
      <c r="O83" s="0" t="s">
        <v>99</v>
      </c>
      <c r="P83" s="0" t="s">
        <v>662</v>
      </c>
      <c r="Q83" s="0" t="n">
        <v>0.0049</v>
      </c>
      <c r="R83" s="0" t="n">
        <v>0.0026</v>
      </c>
      <c r="S83" s="0" t="n">
        <v>0.0021</v>
      </c>
      <c r="T83" s="0" t="n">
        <v>-1</v>
      </c>
      <c r="U83" s="0" t="n">
        <v>0.0045</v>
      </c>
      <c r="V83" s="0" t="s">
        <v>663</v>
      </c>
      <c r="W83" s="0" t="s">
        <v>46</v>
      </c>
      <c r="X83" s="0" t="s">
        <v>46</v>
      </c>
      <c r="Y83" s="0" t="s">
        <v>46</v>
      </c>
      <c r="Z83" s="0" t="s">
        <v>138</v>
      </c>
      <c r="AA83" s="0" t="s">
        <v>171</v>
      </c>
      <c r="AB83" s="0" t="s">
        <v>46</v>
      </c>
      <c r="AC83" s="0" t="s">
        <v>51</v>
      </c>
      <c r="AD83" s="0" t="s">
        <v>52</v>
      </c>
      <c r="AE83" s="0" t="s">
        <v>664</v>
      </c>
      <c r="AF83" s="0" t="s">
        <v>665</v>
      </c>
      <c r="AG83" s="0" t="s">
        <v>666</v>
      </c>
      <c r="AH83" s="0" t="s">
        <v>46</v>
      </c>
      <c r="AI83" s="0" t="s">
        <v>46</v>
      </c>
      <c r="AJ83" s="0" t="s">
        <v>46</v>
      </c>
      <c r="AK83" s="0" t="s">
        <v>46</v>
      </c>
      <c r="AL83" s="0" t="s">
        <v>46</v>
      </c>
    </row>
    <row r="84" customFormat="false" ht="15" hidden="false" customHeight="false" outlineLevel="0" collapsed="false">
      <c r="B84" s="0" t="str">
        <f aca="false">HYPERLINK("https://genome.ucsc.edu/cgi-bin/hgTracks?db=hg19&amp;position=chr10%3A17271974%2D17271974", "chr10:17271974")</f>
        <v>chr10:17271974</v>
      </c>
      <c r="C84" s="0" t="s">
        <v>199</v>
      </c>
      <c r="D84" s="0" t="n">
        <v>17271974</v>
      </c>
      <c r="E84" s="0" t="n">
        <v>17271974</v>
      </c>
      <c r="F84" s="0" t="s">
        <v>39</v>
      </c>
      <c r="G84" s="0" t="s">
        <v>69</v>
      </c>
      <c r="H84" s="0" t="s">
        <v>667</v>
      </c>
      <c r="I84" s="0" t="s">
        <v>668</v>
      </c>
      <c r="J84" s="0" t="s">
        <v>669</v>
      </c>
      <c r="K84" s="0" t="s">
        <v>46</v>
      </c>
      <c r="L84" s="0" t="str">
        <f aca="false">HYPERLINK("https://www.ncbi.nlm.nih.gov/snp/rs201325757", "rs201325757")</f>
        <v>rs201325757</v>
      </c>
      <c r="M84" s="0" t="str">
        <f aca="false">HYPERLINK("https://www.genecards.org/Search/Keyword?queryString=%5Baliases%5D(%20VIM%20)&amp;keywords=VIM", "VIM")</f>
        <v>VIM</v>
      </c>
      <c r="N84" s="0" t="s">
        <v>98</v>
      </c>
      <c r="O84" s="0" t="s">
        <v>99</v>
      </c>
      <c r="P84" s="0" t="s">
        <v>670</v>
      </c>
      <c r="Q84" s="0" t="n">
        <v>0.000194</v>
      </c>
      <c r="R84" s="0" t="n">
        <v>0.0001</v>
      </c>
      <c r="S84" s="0" t="n">
        <v>0.0003</v>
      </c>
      <c r="T84" s="0" t="n">
        <v>-1</v>
      </c>
      <c r="U84" s="0" t="n">
        <v>0.0004</v>
      </c>
      <c r="V84" s="0" t="s">
        <v>137</v>
      </c>
      <c r="W84" s="0" t="s">
        <v>46</v>
      </c>
      <c r="X84" s="0" t="s">
        <v>46</v>
      </c>
      <c r="Y84" s="0" t="s">
        <v>46</v>
      </c>
      <c r="Z84" s="0" t="s">
        <v>102</v>
      </c>
      <c r="AA84" s="0" t="s">
        <v>171</v>
      </c>
      <c r="AB84" s="0" t="s">
        <v>46</v>
      </c>
      <c r="AC84" s="0" t="s">
        <v>51</v>
      </c>
      <c r="AD84" s="0" t="s">
        <v>52</v>
      </c>
      <c r="AE84" s="0" t="s">
        <v>671</v>
      </c>
      <c r="AF84" s="0" t="s">
        <v>672</v>
      </c>
      <c r="AG84" s="0" t="s">
        <v>673</v>
      </c>
      <c r="AH84" s="0" t="s">
        <v>674</v>
      </c>
      <c r="AI84" s="0" t="s">
        <v>46</v>
      </c>
      <c r="AJ84" s="0" t="s">
        <v>46</v>
      </c>
      <c r="AK84" s="0" t="s">
        <v>46</v>
      </c>
      <c r="AL84" s="0" t="s">
        <v>46</v>
      </c>
    </row>
    <row r="85" customFormat="false" ht="15" hidden="false" customHeight="false" outlineLevel="0" collapsed="false">
      <c r="B85" s="0" t="str">
        <f aca="false">HYPERLINK("https://genome.ucsc.edu/cgi-bin/hgTracks?db=hg19&amp;position=chr10%3A75305340%2D75305340", "chr10:75305340")</f>
        <v>chr10:75305340</v>
      </c>
      <c r="C85" s="0" t="s">
        <v>199</v>
      </c>
      <c r="D85" s="0" t="n">
        <v>75305340</v>
      </c>
      <c r="E85" s="0" t="n">
        <v>75305340</v>
      </c>
      <c r="F85" s="0" t="s">
        <v>69</v>
      </c>
      <c r="G85" s="0" t="s">
        <v>39</v>
      </c>
      <c r="H85" s="0" t="s">
        <v>675</v>
      </c>
      <c r="I85" s="0" t="s">
        <v>547</v>
      </c>
      <c r="J85" s="0" t="s">
        <v>676</v>
      </c>
      <c r="K85" s="0" t="s">
        <v>46</v>
      </c>
      <c r="L85" s="0" t="str">
        <f aca="false">HYPERLINK("https://www.ncbi.nlm.nih.gov/snp/rs144497064", "rs144497064")</f>
        <v>rs144497064</v>
      </c>
      <c r="M85" s="0" t="str">
        <f aca="false">HYPERLINK("https://www.genecards.org/Search/Keyword?queryString=%5Baliases%5D(%20USP54%20)&amp;keywords=USP54", "USP54")</f>
        <v>USP54</v>
      </c>
      <c r="N85" s="0" t="s">
        <v>98</v>
      </c>
      <c r="O85" s="0" t="s">
        <v>99</v>
      </c>
      <c r="P85" s="0" t="s">
        <v>677</v>
      </c>
      <c r="Q85" s="0" t="n">
        <v>0.0039</v>
      </c>
      <c r="R85" s="0" t="n">
        <v>0.005</v>
      </c>
      <c r="S85" s="0" t="n">
        <v>0.0035</v>
      </c>
      <c r="T85" s="0" t="n">
        <v>-1</v>
      </c>
      <c r="U85" s="0" t="n">
        <v>0.0064</v>
      </c>
      <c r="V85" s="0" t="s">
        <v>148</v>
      </c>
      <c r="W85" s="0" t="s">
        <v>46</v>
      </c>
      <c r="X85" s="0" t="s">
        <v>46</v>
      </c>
      <c r="Y85" s="0" t="s">
        <v>46</v>
      </c>
      <c r="Z85" s="0" t="s">
        <v>183</v>
      </c>
      <c r="AA85" s="0" t="s">
        <v>171</v>
      </c>
      <c r="AB85" s="0" t="s">
        <v>46</v>
      </c>
      <c r="AC85" s="0" t="s">
        <v>51</v>
      </c>
      <c r="AD85" s="0" t="s">
        <v>52</v>
      </c>
      <c r="AE85" s="0" t="s">
        <v>678</v>
      </c>
      <c r="AF85" s="0" t="s">
        <v>679</v>
      </c>
      <c r="AG85" s="0" t="s">
        <v>680</v>
      </c>
      <c r="AH85" s="0" t="s">
        <v>46</v>
      </c>
      <c r="AI85" s="0" t="s">
        <v>46</v>
      </c>
      <c r="AJ85" s="0" t="s">
        <v>46</v>
      </c>
      <c r="AK85" s="0" t="s">
        <v>46</v>
      </c>
      <c r="AL85" s="0" t="s">
        <v>46</v>
      </c>
    </row>
    <row r="86" customFormat="false" ht="15" hidden="false" customHeight="false" outlineLevel="0" collapsed="false">
      <c r="B86" s="0" t="str">
        <f aca="false">HYPERLINK("https://genome.ucsc.edu/cgi-bin/hgTracks?db=hg19&amp;position=chr10%3A104632897%2D104632897", "chr10:104632897")</f>
        <v>chr10:104632897</v>
      </c>
      <c r="C86" s="0" t="s">
        <v>199</v>
      </c>
      <c r="D86" s="0" t="n">
        <v>104632897</v>
      </c>
      <c r="E86" s="0" t="n">
        <v>104632897</v>
      </c>
      <c r="F86" s="0" t="s">
        <v>57</v>
      </c>
      <c r="G86" s="0" t="s">
        <v>69</v>
      </c>
      <c r="H86" s="0" t="s">
        <v>601</v>
      </c>
      <c r="I86" s="0" t="s">
        <v>559</v>
      </c>
      <c r="J86" s="0" t="s">
        <v>560</v>
      </c>
      <c r="K86" s="0" t="s">
        <v>46</v>
      </c>
      <c r="L86" s="0" t="s">
        <v>46</v>
      </c>
      <c r="M86" s="0" t="str">
        <f aca="false">HYPERLINK("https://www.genecards.org/Search/Keyword?queryString=%5Baliases%5D(%20AS3MT%20)%20OR%20%5Baliases%5D(%20C10orf32-AS3MT%20)&amp;keywords=AS3MT,C10orf32-AS3MT", "AS3MT;C10orf32-AS3MT")</f>
        <v>AS3MT;C10orf32-AS3MT</v>
      </c>
      <c r="N86" s="0" t="s">
        <v>98</v>
      </c>
      <c r="O86" s="0" t="s">
        <v>99</v>
      </c>
      <c r="P86" s="0" t="s">
        <v>681</v>
      </c>
      <c r="Q86" s="0" t="n">
        <v>0.003049</v>
      </c>
      <c r="R86" s="0" t="n">
        <v>-1</v>
      </c>
      <c r="S86" s="0" t="n">
        <v>-1</v>
      </c>
      <c r="T86" s="0" t="n">
        <v>-1</v>
      </c>
      <c r="U86" s="0" t="n">
        <v>-1</v>
      </c>
      <c r="V86" s="0" t="s">
        <v>257</v>
      </c>
      <c r="W86" s="0" t="s">
        <v>46</v>
      </c>
      <c r="X86" s="0" t="s">
        <v>46</v>
      </c>
      <c r="Y86" s="0" t="s">
        <v>46</v>
      </c>
      <c r="Z86" s="0" t="s">
        <v>138</v>
      </c>
      <c r="AA86" s="0" t="s">
        <v>171</v>
      </c>
      <c r="AB86" s="0" t="s">
        <v>46</v>
      </c>
      <c r="AC86" s="0" t="s">
        <v>51</v>
      </c>
      <c r="AD86" s="0" t="s">
        <v>437</v>
      </c>
      <c r="AE86" s="0" t="s">
        <v>682</v>
      </c>
      <c r="AF86" s="0" t="s">
        <v>683</v>
      </c>
      <c r="AG86" s="0" t="s">
        <v>684</v>
      </c>
      <c r="AH86" s="0" t="s">
        <v>46</v>
      </c>
      <c r="AI86" s="0" t="s">
        <v>46</v>
      </c>
      <c r="AJ86" s="0" t="s">
        <v>46</v>
      </c>
      <c r="AK86" s="0" t="s">
        <v>46</v>
      </c>
      <c r="AL86" s="0" t="s">
        <v>46</v>
      </c>
    </row>
    <row r="87" customFormat="false" ht="15" hidden="false" customHeight="false" outlineLevel="0" collapsed="false">
      <c r="B87" s="0" t="str">
        <f aca="false">HYPERLINK("https://genome.ucsc.edu/cgi-bin/hgTracks?db=hg19&amp;position=chr10%3A126678112%2D126678112", "chr10:126678112")</f>
        <v>chr10:126678112</v>
      </c>
      <c r="C87" s="0" t="s">
        <v>199</v>
      </c>
      <c r="D87" s="0" t="n">
        <v>126678112</v>
      </c>
      <c r="E87" s="0" t="n">
        <v>126678112</v>
      </c>
      <c r="F87" s="0" t="s">
        <v>40</v>
      </c>
      <c r="G87" s="0" t="s">
        <v>39</v>
      </c>
      <c r="H87" s="0" t="s">
        <v>685</v>
      </c>
      <c r="I87" s="0" t="s">
        <v>154</v>
      </c>
      <c r="J87" s="0" t="s">
        <v>686</v>
      </c>
      <c r="K87" s="0" t="s">
        <v>46</v>
      </c>
      <c r="L87" s="0" t="str">
        <f aca="false">HYPERLINK("https://www.ncbi.nlm.nih.gov/snp/rs75839774", "rs75839774")</f>
        <v>rs75839774</v>
      </c>
      <c r="M87" s="0" t="str">
        <f aca="false">HYPERLINK("https://www.genecards.org/Search/Keyword?queryString=%5Baliases%5D(%20CTBP2%20)&amp;keywords=CTBP2", "CTBP2")</f>
        <v>CTBP2</v>
      </c>
      <c r="N87" s="0" t="s">
        <v>98</v>
      </c>
      <c r="O87" s="0" t="s">
        <v>99</v>
      </c>
      <c r="P87" s="0" t="s">
        <v>687</v>
      </c>
      <c r="Q87" s="0" t="n">
        <v>0.000194</v>
      </c>
      <c r="R87" s="0" t="n">
        <v>-1</v>
      </c>
      <c r="S87" s="0" t="n">
        <v>-1</v>
      </c>
      <c r="T87" s="0" t="n">
        <v>-1</v>
      </c>
      <c r="U87" s="0" t="n">
        <v>-1</v>
      </c>
      <c r="V87" s="0" t="s">
        <v>688</v>
      </c>
      <c r="W87" s="0" t="s">
        <v>46</v>
      </c>
      <c r="X87" s="0" t="s">
        <v>46</v>
      </c>
      <c r="Y87" s="0" t="s">
        <v>46</v>
      </c>
      <c r="Z87" s="0" t="s">
        <v>102</v>
      </c>
      <c r="AA87" s="0" t="s">
        <v>171</v>
      </c>
      <c r="AB87" s="0" t="s">
        <v>46</v>
      </c>
      <c r="AC87" s="0" t="s">
        <v>51</v>
      </c>
      <c r="AD87" s="0" t="s">
        <v>689</v>
      </c>
      <c r="AE87" s="0" t="s">
        <v>690</v>
      </c>
      <c r="AF87" s="0" t="s">
        <v>691</v>
      </c>
      <c r="AG87" s="0" t="s">
        <v>692</v>
      </c>
      <c r="AH87" s="0" t="s">
        <v>46</v>
      </c>
      <c r="AI87" s="0" t="s">
        <v>46</v>
      </c>
      <c r="AJ87" s="0" t="s">
        <v>46</v>
      </c>
      <c r="AK87" s="0" t="s">
        <v>46</v>
      </c>
      <c r="AL87" s="0" t="s">
        <v>609</v>
      </c>
    </row>
    <row r="88" customFormat="false" ht="15" hidden="false" customHeight="false" outlineLevel="0" collapsed="false">
      <c r="B88" s="0" t="str">
        <f aca="false">HYPERLINK("https://genome.ucsc.edu/cgi-bin/hgTracks?db=hg19&amp;position=chr10%3A126683058%2D126683058", "chr10:126683058")</f>
        <v>chr10:126683058</v>
      </c>
      <c r="C88" s="0" t="s">
        <v>199</v>
      </c>
      <c r="D88" s="0" t="n">
        <v>126683058</v>
      </c>
      <c r="E88" s="0" t="n">
        <v>126683058</v>
      </c>
      <c r="F88" s="0" t="s">
        <v>40</v>
      </c>
      <c r="G88" s="0" t="s">
        <v>69</v>
      </c>
      <c r="H88" s="0" t="s">
        <v>693</v>
      </c>
      <c r="I88" s="0" t="s">
        <v>694</v>
      </c>
      <c r="J88" s="0" t="s">
        <v>695</v>
      </c>
      <c r="K88" s="0" t="s">
        <v>46</v>
      </c>
      <c r="L88" s="0" t="str">
        <f aca="false">HYPERLINK("https://www.ncbi.nlm.nih.gov/snp/rs913075834", "rs913075834")</f>
        <v>rs913075834</v>
      </c>
      <c r="M88" s="0" t="str">
        <f aca="false">HYPERLINK("https://www.genecards.org/Search/Keyword?queryString=%5Baliases%5D(%20CTBP2%20)&amp;keywords=CTBP2", "CTBP2")</f>
        <v>CTBP2</v>
      </c>
      <c r="N88" s="0" t="s">
        <v>98</v>
      </c>
      <c r="O88" s="0" t="s">
        <v>99</v>
      </c>
      <c r="P88" s="0" t="s">
        <v>696</v>
      </c>
      <c r="Q88" s="0" t="n">
        <v>-1</v>
      </c>
      <c r="R88" s="0" t="n">
        <v>-1</v>
      </c>
      <c r="S88" s="0" t="n">
        <v>-1</v>
      </c>
      <c r="T88" s="0" t="n">
        <v>-1</v>
      </c>
      <c r="U88" s="0" t="n">
        <v>-1</v>
      </c>
      <c r="V88" s="0" t="s">
        <v>697</v>
      </c>
      <c r="W88" s="0" t="s">
        <v>46</v>
      </c>
      <c r="X88" s="0" t="s">
        <v>46</v>
      </c>
      <c r="Y88" s="0" t="s">
        <v>46</v>
      </c>
      <c r="Z88" s="0" t="s">
        <v>240</v>
      </c>
      <c r="AA88" s="0" t="s">
        <v>171</v>
      </c>
      <c r="AB88" s="0" t="s">
        <v>46</v>
      </c>
      <c r="AC88" s="0" t="s">
        <v>51</v>
      </c>
      <c r="AD88" s="0" t="s">
        <v>689</v>
      </c>
      <c r="AE88" s="0" t="s">
        <v>690</v>
      </c>
      <c r="AF88" s="0" t="s">
        <v>691</v>
      </c>
      <c r="AG88" s="0" t="s">
        <v>692</v>
      </c>
      <c r="AH88" s="0" t="s">
        <v>46</v>
      </c>
      <c r="AI88" s="0" t="s">
        <v>46</v>
      </c>
      <c r="AJ88" s="0" t="s">
        <v>46</v>
      </c>
      <c r="AK88" s="0" t="s">
        <v>46</v>
      </c>
      <c r="AL88" s="0" t="s">
        <v>46</v>
      </c>
    </row>
    <row r="89" customFormat="false" ht="15" hidden="false" customHeight="false" outlineLevel="0" collapsed="false">
      <c r="B89" s="0" t="str">
        <f aca="false">HYPERLINK("https://genome.ucsc.edu/cgi-bin/hgTracks?db=hg19&amp;position=chr10%3A126683070%2D126683070", "chr10:126683070")</f>
        <v>chr10:126683070</v>
      </c>
      <c r="C89" s="0" t="s">
        <v>199</v>
      </c>
      <c r="D89" s="0" t="n">
        <v>126683070</v>
      </c>
      <c r="E89" s="0" t="n">
        <v>126683070</v>
      </c>
      <c r="F89" s="0" t="s">
        <v>69</v>
      </c>
      <c r="G89" s="0" t="s">
        <v>57</v>
      </c>
      <c r="H89" s="0" t="s">
        <v>698</v>
      </c>
      <c r="I89" s="0" t="s">
        <v>699</v>
      </c>
      <c r="J89" s="0" t="s">
        <v>700</v>
      </c>
      <c r="K89" s="0" t="s">
        <v>46</v>
      </c>
      <c r="L89" s="0" t="str">
        <f aca="false">HYPERLINK("https://www.ncbi.nlm.nih.gov/snp/rs978705792", "rs978705792")</f>
        <v>rs978705792</v>
      </c>
      <c r="M89" s="0" t="str">
        <f aca="false">HYPERLINK("https://www.genecards.org/Search/Keyword?queryString=%5Baliases%5D(%20CTBP2%20)&amp;keywords=CTBP2", "CTBP2")</f>
        <v>CTBP2</v>
      </c>
      <c r="N89" s="0" t="s">
        <v>98</v>
      </c>
      <c r="O89" s="0" t="s">
        <v>99</v>
      </c>
      <c r="P89" s="0" t="s">
        <v>701</v>
      </c>
      <c r="Q89" s="0" t="n">
        <v>-1</v>
      </c>
      <c r="R89" s="0" t="n">
        <v>-1</v>
      </c>
      <c r="S89" s="0" t="n">
        <v>-1</v>
      </c>
      <c r="T89" s="0" t="n">
        <v>-1</v>
      </c>
      <c r="U89" s="0" t="n">
        <v>-1</v>
      </c>
      <c r="V89" s="0" t="s">
        <v>688</v>
      </c>
      <c r="W89" s="0" t="s">
        <v>46</v>
      </c>
      <c r="X89" s="0" t="s">
        <v>46</v>
      </c>
      <c r="Y89" s="0" t="s">
        <v>46</v>
      </c>
      <c r="Z89" s="0" t="s">
        <v>240</v>
      </c>
      <c r="AA89" s="0" t="s">
        <v>171</v>
      </c>
      <c r="AB89" s="0" t="s">
        <v>46</v>
      </c>
      <c r="AC89" s="0" t="s">
        <v>51</v>
      </c>
      <c r="AD89" s="0" t="s">
        <v>689</v>
      </c>
      <c r="AE89" s="0" t="s">
        <v>690</v>
      </c>
      <c r="AF89" s="0" t="s">
        <v>691</v>
      </c>
      <c r="AG89" s="0" t="s">
        <v>692</v>
      </c>
      <c r="AH89" s="0" t="s">
        <v>46</v>
      </c>
      <c r="AI89" s="0" t="s">
        <v>46</v>
      </c>
      <c r="AJ89" s="0" t="s">
        <v>46</v>
      </c>
      <c r="AK89" s="0" t="s">
        <v>46</v>
      </c>
      <c r="AL89" s="0" t="s">
        <v>46</v>
      </c>
    </row>
    <row r="90" customFormat="false" ht="15" hidden="false" customHeight="false" outlineLevel="0" collapsed="false">
      <c r="B90" s="0" t="str">
        <f aca="false">HYPERLINK("https://genome.ucsc.edu/cgi-bin/hgTracks?db=hg19&amp;position=chr10%3A126683071%2D126683071", "chr10:126683071")</f>
        <v>chr10:126683071</v>
      </c>
      <c r="C90" s="0" t="s">
        <v>199</v>
      </c>
      <c r="D90" s="0" t="n">
        <v>126683071</v>
      </c>
      <c r="E90" s="0" t="n">
        <v>126683071</v>
      </c>
      <c r="F90" s="0" t="s">
        <v>69</v>
      </c>
      <c r="G90" s="0" t="s">
        <v>39</v>
      </c>
      <c r="H90" s="0" t="s">
        <v>702</v>
      </c>
      <c r="I90" s="0" t="s">
        <v>703</v>
      </c>
      <c r="J90" s="0" t="s">
        <v>704</v>
      </c>
      <c r="K90" s="0" t="s">
        <v>46</v>
      </c>
      <c r="L90" s="0" t="str">
        <f aca="false">HYPERLINK("https://www.ncbi.nlm.nih.gov/snp/rs61870306", "rs61870306")</f>
        <v>rs61870306</v>
      </c>
      <c r="M90" s="0" t="str">
        <f aca="false">HYPERLINK("https://www.genecards.org/Search/Keyword?queryString=%5Baliases%5D(%20CTBP2%20)&amp;keywords=CTBP2", "CTBP2")</f>
        <v>CTBP2</v>
      </c>
      <c r="N90" s="0" t="s">
        <v>98</v>
      </c>
      <c r="O90" s="0" t="s">
        <v>99</v>
      </c>
      <c r="P90" s="0" t="s">
        <v>705</v>
      </c>
      <c r="Q90" s="0" t="n">
        <v>6.5E-006</v>
      </c>
      <c r="R90" s="0" t="n">
        <v>-1</v>
      </c>
      <c r="S90" s="0" t="n">
        <v>-1</v>
      </c>
      <c r="T90" s="0" t="n">
        <v>-1</v>
      </c>
      <c r="U90" s="0" t="n">
        <v>-1</v>
      </c>
      <c r="V90" s="0" t="s">
        <v>480</v>
      </c>
      <c r="W90" s="0" t="s">
        <v>46</v>
      </c>
      <c r="X90" s="0" t="s">
        <v>46</v>
      </c>
      <c r="Y90" s="0" t="s">
        <v>46</v>
      </c>
      <c r="Z90" s="0" t="s">
        <v>102</v>
      </c>
      <c r="AA90" s="0" t="s">
        <v>171</v>
      </c>
      <c r="AB90" s="0" t="s">
        <v>46</v>
      </c>
      <c r="AC90" s="0" t="s">
        <v>51</v>
      </c>
      <c r="AD90" s="0" t="s">
        <v>689</v>
      </c>
      <c r="AE90" s="0" t="s">
        <v>690</v>
      </c>
      <c r="AF90" s="0" t="s">
        <v>691</v>
      </c>
      <c r="AG90" s="0" t="s">
        <v>692</v>
      </c>
      <c r="AH90" s="0" t="s">
        <v>46</v>
      </c>
      <c r="AI90" s="0" t="s">
        <v>46</v>
      </c>
      <c r="AJ90" s="0" t="s">
        <v>46</v>
      </c>
      <c r="AK90" s="0" t="s">
        <v>46</v>
      </c>
      <c r="AL90" s="0" t="s">
        <v>46</v>
      </c>
    </row>
    <row r="91" customFormat="false" ht="15" hidden="false" customHeight="false" outlineLevel="0" collapsed="false">
      <c r="B91" s="0" t="str">
        <f aca="false">HYPERLINK("https://genome.ucsc.edu/cgi-bin/hgTracks?db=hg19&amp;position=chr10%3A126683074%2D126683074", "chr10:126683074")</f>
        <v>chr10:126683074</v>
      </c>
      <c r="C91" s="0" t="s">
        <v>199</v>
      </c>
      <c r="D91" s="0" t="n">
        <v>126683074</v>
      </c>
      <c r="E91" s="0" t="n">
        <v>126683074</v>
      </c>
      <c r="F91" s="0" t="s">
        <v>57</v>
      </c>
      <c r="G91" s="0" t="s">
        <v>40</v>
      </c>
      <c r="H91" s="0" t="s">
        <v>706</v>
      </c>
      <c r="I91" s="0" t="s">
        <v>707</v>
      </c>
      <c r="J91" s="0" t="s">
        <v>708</v>
      </c>
      <c r="K91" s="0" t="s">
        <v>46</v>
      </c>
      <c r="L91" s="0" t="str">
        <f aca="false">HYPERLINK("https://www.ncbi.nlm.nih.gov/snp/rs937366751", "rs937366751")</f>
        <v>rs937366751</v>
      </c>
      <c r="M91" s="0" t="str">
        <f aca="false">HYPERLINK("https://www.genecards.org/Search/Keyword?queryString=%5Baliases%5D(%20CTBP2%20)&amp;keywords=CTBP2", "CTBP2")</f>
        <v>CTBP2</v>
      </c>
      <c r="N91" s="0" t="s">
        <v>98</v>
      </c>
      <c r="O91" s="0" t="s">
        <v>99</v>
      </c>
      <c r="P91" s="0" t="s">
        <v>709</v>
      </c>
      <c r="Q91" s="0" t="n">
        <v>-1</v>
      </c>
      <c r="R91" s="0" t="n">
        <v>-1</v>
      </c>
      <c r="S91" s="0" t="n">
        <v>-1</v>
      </c>
      <c r="T91" s="0" t="n">
        <v>-1</v>
      </c>
      <c r="U91" s="0" t="n">
        <v>-1</v>
      </c>
      <c r="V91" s="0" t="s">
        <v>596</v>
      </c>
      <c r="W91" s="0" t="s">
        <v>46</v>
      </c>
      <c r="X91" s="0" t="s">
        <v>46</v>
      </c>
      <c r="Y91" s="0" t="s">
        <v>46</v>
      </c>
      <c r="Z91" s="0" t="s">
        <v>159</v>
      </c>
      <c r="AA91" s="0" t="s">
        <v>171</v>
      </c>
      <c r="AB91" s="0" t="s">
        <v>46</v>
      </c>
      <c r="AC91" s="0" t="s">
        <v>51</v>
      </c>
      <c r="AD91" s="0" t="s">
        <v>689</v>
      </c>
      <c r="AE91" s="0" t="s">
        <v>690</v>
      </c>
      <c r="AF91" s="0" t="s">
        <v>691</v>
      </c>
      <c r="AG91" s="0" t="s">
        <v>692</v>
      </c>
      <c r="AH91" s="0" t="s">
        <v>46</v>
      </c>
      <c r="AI91" s="0" t="s">
        <v>46</v>
      </c>
      <c r="AJ91" s="0" t="s">
        <v>46</v>
      </c>
      <c r="AK91" s="0" t="s">
        <v>46</v>
      </c>
      <c r="AL91" s="0" t="s">
        <v>46</v>
      </c>
    </row>
    <row r="92" customFormat="false" ht="15" hidden="false" customHeight="false" outlineLevel="0" collapsed="false">
      <c r="B92" s="0" t="str">
        <f aca="false">HYPERLINK("https://genome.ucsc.edu/cgi-bin/hgTracks?db=hg19&amp;position=chr10%3A126683075%2D126683075", "chr10:126683075")</f>
        <v>chr10:126683075</v>
      </c>
      <c r="C92" s="0" t="s">
        <v>199</v>
      </c>
      <c r="D92" s="0" t="n">
        <v>126683075</v>
      </c>
      <c r="E92" s="0" t="n">
        <v>126683075</v>
      </c>
      <c r="F92" s="0" t="s">
        <v>40</v>
      </c>
      <c r="G92" s="0" t="s">
        <v>57</v>
      </c>
      <c r="H92" s="0" t="s">
        <v>710</v>
      </c>
      <c r="I92" s="0" t="s">
        <v>711</v>
      </c>
      <c r="J92" s="0" t="s">
        <v>712</v>
      </c>
      <c r="K92" s="0" t="s">
        <v>46</v>
      </c>
      <c r="L92" s="0" t="str">
        <f aca="false">HYPERLINK("https://www.ncbi.nlm.nih.gov/snp/rs80273852", "rs80273852")</f>
        <v>rs80273852</v>
      </c>
      <c r="M92" s="0" t="str">
        <f aca="false">HYPERLINK("https://www.genecards.org/Search/Keyword?queryString=%5Baliases%5D(%20CTBP2%20)&amp;keywords=CTBP2", "CTBP2")</f>
        <v>CTBP2</v>
      </c>
      <c r="N92" s="0" t="s">
        <v>98</v>
      </c>
      <c r="O92" s="0" t="s">
        <v>99</v>
      </c>
      <c r="P92" s="0" t="s">
        <v>713</v>
      </c>
      <c r="Q92" s="0" t="n">
        <v>6.5E-006</v>
      </c>
      <c r="R92" s="0" t="n">
        <v>-1</v>
      </c>
      <c r="S92" s="0" t="n">
        <v>-1</v>
      </c>
      <c r="T92" s="0" t="n">
        <v>-1</v>
      </c>
      <c r="U92" s="0" t="n">
        <v>-1</v>
      </c>
      <c r="V92" s="0" t="s">
        <v>608</v>
      </c>
      <c r="W92" s="0" t="s">
        <v>46</v>
      </c>
      <c r="X92" s="0" t="s">
        <v>46</v>
      </c>
      <c r="Y92" s="0" t="s">
        <v>46</v>
      </c>
      <c r="Z92" s="0" t="s">
        <v>481</v>
      </c>
      <c r="AA92" s="0" t="s">
        <v>171</v>
      </c>
      <c r="AB92" s="0" t="s">
        <v>46</v>
      </c>
      <c r="AC92" s="0" t="s">
        <v>51</v>
      </c>
      <c r="AD92" s="0" t="s">
        <v>689</v>
      </c>
      <c r="AE92" s="0" t="s">
        <v>690</v>
      </c>
      <c r="AF92" s="0" t="s">
        <v>691</v>
      </c>
      <c r="AG92" s="0" t="s">
        <v>692</v>
      </c>
      <c r="AH92" s="0" t="s">
        <v>46</v>
      </c>
      <c r="AI92" s="0" t="s">
        <v>46</v>
      </c>
      <c r="AJ92" s="0" t="s">
        <v>46</v>
      </c>
      <c r="AK92" s="0" t="s">
        <v>46</v>
      </c>
      <c r="AL92" s="0" t="s">
        <v>46</v>
      </c>
    </row>
    <row r="93" customFormat="false" ht="15" hidden="false" customHeight="false" outlineLevel="0" collapsed="false">
      <c r="B93" s="0" t="str">
        <f aca="false">HYPERLINK("https://genome.ucsc.edu/cgi-bin/hgTracks?db=hg19&amp;position=chr10%3A126683087%2D126683087", "chr10:126683087")</f>
        <v>chr10:126683087</v>
      </c>
      <c r="C93" s="0" t="s">
        <v>199</v>
      </c>
      <c r="D93" s="0" t="n">
        <v>126683087</v>
      </c>
      <c r="E93" s="0" t="n">
        <v>126683087</v>
      </c>
      <c r="F93" s="0" t="s">
        <v>40</v>
      </c>
      <c r="G93" s="0" t="s">
        <v>39</v>
      </c>
      <c r="H93" s="0" t="s">
        <v>714</v>
      </c>
      <c r="I93" s="0" t="s">
        <v>715</v>
      </c>
      <c r="J93" s="0" t="s">
        <v>716</v>
      </c>
      <c r="K93" s="0" t="s">
        <v>46</v>
      </c>
      <c r="L93" s="0" t="str">
        <f aca="false">HYPERLINK("https://www.ncbi.nlm.nih.gov/snp/rs61870307", "rs61870307")</f>
        <v>rs61870307</v>
      </c>
      <c r="M93" s="0" t="str">
        <f aca="false">HYPERLINK("https://www.genecards.org/Search/Keyword?queryString=%5Baliases%5D(%20CTBP2%20)&amp;keywords=CTBP2", "CTBP2")</f>
        <v>CTBP2</v>
      </c>
      <c r="N93" s="0" t="s">
        <v>98</v>
      </c>
      <c r="O93" s="0" t="s">
        <v>99</v>
      </c>
      <c r="P93" s="0" t="s">
        <v>717</v>
      </c>
      <c r="Q93" s="0" t="n">
        <v>3.23E-005</v>
      </c>
      <c r="R93" s="0" t="n">
        <v>-1</v>
      </c>
      <c r="S93" s="0" t="n">
        <v>-1</v>
      </c>
      <c r="T93" s="0" t="n">
        <v>-1</v>
      </c>
      <c r="U93" s="0" t="n">
        <v>-1</v>
      </c>
      <c r="V93" s="0" t="s">
        <v>688</v>
      </c>
      <c r="W93" s="0" t="s">
        <v>46</v>
      </c>
      <c r="X93" s="0" t="s">
        <v>46</v>
      </c>
      <c r="Y93" s="0" t="s">
        <v>46</v>
      </c>
      <c r="Z93" s="0" t="s">
        <v>231</v>
      </c>
      <c r="AA93" s="0" t="s">
        <v>171</v>
      </c>
      <c r="AB93" s="0" t="s">
        <v>46</v>
      </c>
      <c r="AC93" s="0" t="s">
        <v>51</v>
      </c>
      <c r="AD93" s="0" t="s">
        <v>689</v>
      </c>
      <c r="AE93" s="0" t="s">
        <v>690</v>
      </c>
      <c r="AF93" s="0" t="s">
        <v>691</v>
      </c>
      <c r="AG93" s="0" t="s">
        <v>692</v>
      </c>
      <c r="AH93" s="0" t="s">
        <v>46</v>
      </c>
      <c r="AI93" s="0" t="s">
        <v>46</v>
      </c>
      <c r="AJ93" s="0" t="s">
        <v>46</v>
      </c>
      <c r="AK93" s="0" t="s">
        <v>46</v>
      </c>
      <c r="AL93" s="0" t="s">
        <v>46</v>
      </c>
    </row>
    <row r="94" customFormat="false" ht="15" hidden="false" customHeight="false" outlineLevel="0" collapsed="false">
      <c r="B94" s="0" t="str">
        <f aca="false">HYPERLINK("https://genome.ucsc.edu/cgi-bin/hgTracks?db=hg19&amp;position=chr10%3A126683099%2D126683099", "chr10:126683099")</f>
        <v>chr10:126683099</v>
      </c>
      <c r="C94" s="0" t="s">
        <v>199</v>
      </c>
      <c r="D94" s="0" t="n">
        <v>126683099</v>
      </c>
      <c r="E94" s="0" t="n">
        <v>126683099</v>
      </c>
      <c r="F94" s="0" t="s">
        <v>69</v>
      </c>
      <c r="G94" s="0" t="s">
        <v>57</v>
      </c>
      <c r="H94" s="0" t="s">
        <v>718</v>
      </c>
      <c r="I94" s="0" t="s">
        <v>719</v>
      </c>
      <c r="J94" s="0" t="s">
        <v>720</v>
      </c>
      <c r="K94" s="0" t="s">
        <v>46</v>
      </c>
      <c r="L94" s="0" t="str">
        <f aca="false">HYPERLINK("https://www.ncbi.nlm.nih.gov/snp/rs374871777", "rs374871777")</f>
        <v>rs374871777</v>
      </c>
      <c r="M94" s="0" t="str">
        <f aca="false">HYPERLINK("https://www.genecards.org/Search/Keyword?queryString=%5Baliases%5D(%20CTBP2%20)&amp;keywords=CTBP2", "CTBP2")</f>
        <v>CTBP2</v>
      </c>
      <c r="N94" s="0" t="s">
        <v>98</v>
      </c>
      <c r="O94" s="0" t="s">
        <v>99</v>
      </c>
      <c r="P94" s="0" t="s">
        <v>721</v>
      </c>
      <c r="Q94" s="0" t="n">
        <v>6.5E-006</v>
      </c>
      <c r="R94" s="0" t="n">
        <v>-1</v>
      </c>
      <c r="S94" s="0" t="n">
        <v>-1</v>
      </c>
      <c r="T94" s="0" t="n">
        <v>-1</v>
      </c>
      <c r="U94" s="0" t="n">
        <v>-1</v>
      </c>
      <c r="V94" s="0" t="s">
        <v>697</v>
      </c>
      <c r="W94" s="0" t="s">
        <v>46</v>
      </c>
      <c r="X94" s="0" t="s">
        <v>46</v>
      </c>
      <c r="Y94" s="0" t="s">
        <v>46</v>
      </c>
      <c r="Z94" s="0" t="s">
        <v>240</v>
      </c>
      <c r="AA94" s="0" t="s">
        <v>171</v>
      </c>
      <c r="AB94" s="0" t="s">
        <v>46</v>
      </c>
      <c r="AC94" s="0" t="s">
        <v>51</v>
      </c>
      <c r="AD94" s="0" t="s">
        <v>689</v>
      </c>
      <c r="AE94" s="0" t="s">
        <v>690</v>
      </c>
      <c r="AF94" s="0" t="s">
        <v>691</v>
      </c>
      <c r="AG94" s="0" t="s">
        <v>692</v>
      </c>
      <c r="AH94" s="0" t="s">
        <v>46</v>
      </c>
      <c r="AI94" s="0" t="s">
        <v>46</v>
      </c>
      <c r="AJ94" s="0" t="s">
        <v>46</v>
      </c>
      <c r="AK94" s="0" t="s">
        <v>46</v>
      </c>
      <c r="AL94" s="0" t="s">
        <v>46</v>
      </c>
    </row>
    <row r="95" customFormat="false" ht="15" hidden="false" customHeight="false" outlineLevel="0" collapsed="false">
      <c r="B95" s="0" t="str">
        <f aca="false">HYPERLINK("https://genome.ucsc.edu/cgi-bin/hgTracks?db=hg19&amp;position=chr10%3A126683103%2D126683103", "chr10:126683103")</f>
        <v>chr10:126683103</v>
      </c>
      <c r="C95" s="0" t="s">
        <v>199</v>
      </c>
      <c r="D95" s="0" t="n">
        <v>126683103</v>
      </c>
      <c r="E95" s="0" t="n">
        <v>126683103</v>
      </c>
      <c r="F95" s="0" t="s">
        <v>39</v>
      </c>
      <c r="G95" s="0" t="s">
        <v>40</v>
      </c>
      <c r="H95" s="0" t="s">
        <v>722</v>
      </c>
      <c r="I95" s="0" t="s">
        <v>723</v>
      </c>
      <c r="J95" s="0" t="s">
        <v>724</v>
      </c>
      <c r="K95" s="0" t="s">
        <v>46</v>
      </c>
      <c r="L95" s="0" t="str">
        <f aca="false">HYPERLINK("https://www.ncbi.nlm.nih.gov/snp/rs77603788", "rs77603788")</f>
        <v>rs77603788</v>
      </c>
      <c r="M95" s="0" t="str">
        <f aca="false">HYPERLINK("https://www.genecards.org/Search/Keyword?queryString=%5Baliases%5D(%20CTBP2%20)&amp;keywords=CTBP2", "CTBP2")</f>
        <v>CTBP2</v>
      </c>
      <c r="N95" s="0" t="s">
        <v>98</v>
      </c>
      <c r="O95" s="0" t="s">
        <v>99</v>
      </c>
      <c r="P95" s="0" t="s">
        <v>725</v>
      </c>
      <c r="Q95" s="0" t="n">
        <v>4.53E-005</v>
      </c>
      <c r="R95" s="0" t="n">
        <v>-1</v>
      </c>
      <c r="S95" s="0" t="n">
        <v>-1</v>
      </c>
      <c r="T95" s="0" t="n">
        <v>-1</v>
      </c>
      <c r="U95" s="0" t="n">
        <v>-1</v>
      </c>
      <c r="V95" s="0" t="s">
        <v>688</v>
      </c>
      <c r="W95" s="0" t="s">
        <v>46</v>
      </c>
      <c r="X95" s="0" t="s">
        <v>46</v>
      </c>
      <c r="Y95" s="0" t="s">
        <v>46</v>
      </c>
      <c r="Z95" s="0" t="s">
        <v>183</v>
      </c>
      <c r="AA95" s="0" t="s">
        <v>171</v>
      </c>
      <c r="AB95" s="0" t="s">
        <v>46</v>
      </c>
      <c r="AC95" s="0" t="s">
        <v>51</v>
      </c>
      <c r="AD95" s="0" t="s">
        <v>689</v>
      </c>
      <c r="AE95" s="0" t="s">
        <v>690</v>
      </c>
      <c r="AF95" s="0" t="s">
        <v>691</v>
      </c>
      <c r="AG95" s="0" t="s">
        <v>692</v>
      </c>
      <c r="AH95" s="0" t="s">
        <v>46</v>
      </c>
      <c r="AI95" s="0" t="s">
        <v>46</v>
      </c>
      <c r="AJ95" s="0" t="s">
        <v>46</v>
      </c>
      <c r="AK95" s="0" t="s">
        <v>46</v>
      </c>
      <c r="AL95" s="0" t="s">
        <v>46</v>
      </c>
    </row>
    <row r="96" customFormat="false" ht="15" hidden="false" customHeight="false" outlineLevel="0" collapsed="false">
      <c r="B96" s="0" t="str">
        <f aca="false">HYPERLINK("https://genome.ucsc.edu/cgi-bin/hgTracks?db=hg19&amp;position=chr10%3A126683111%2D126683111", "chr10:126683111")</f>
        <v>chr10:126683111</v>
      </c>
      <c r="C96" s="0" t="s">
        <v>199</v>
      </c>
      <c r="D96" s="0" t="n">
        <v>126683111</v>
      </c>
      <c r="E96" s="0" t="n">
        <v>126683111</v>
      </c>
      <c r="F96" s="0" t="s">
        <v>39</v>
      </c>
      <c r="G96" s="0" t="s">
        <v>40</v>
      </c>
      <c r="H96" s="0" t="s">
        <v>726</v>
      </c>
      <c r="I96" s="0" t="s">
        <v>727</v>
      </c>
      <c r="J96" s="0" t="s">
        <v>728</v>
      </c>
      <c r="K96" s="0" t="s">
        <v>46</v>
      </c>
      <c r="L96" s="0" t="str">
        <f aca="false">HYPERLINK("https://www.ncbi.nlm.nih.gov/snp/rs78155918", "rs78155918")</f>
        <v>rs78155918</v>
      </c>
      <c r="M96" s="0" t="str">
        <f aca="false">HYPERLINK("https://www.genecards.org/Search/Keyword?queryString=%5Baliases%5D(%20CTBP2%20)&amp;keywords=CTBP2", "CTBP2")</f>
        <v>CTBP2</v>
      </c>
      <c r="N96" s="0" t="s">
        <v>98</v>
      </c>
      <c r="O96" s="0" t="s">
        <v>99</v>
      </c>
      <c r="P96" s="0" t="s">
        <v>729</v>
      </c>
      <c r="Q96" s="0" t="n">
        <v>1.29E-005</v>
      </c>
      <c r="R96" s="0" t="n">
        <v>-1</v>
      </c>
      <c r="S96" s="0" t="n">
        <v>-1</v>
      </c>
      <c r="T96" s="0" t="n">
        <v>-1</v>
      </c>
      <c r="U96" s="0" t="n">
        <v>-1</v>
      </c>
      <c r="V96" s="0" t="s">
        <v>730</v>
      </c>
      <c r="W96" s="0" t="s">
        <v>46</v>
      </c>
      <c r="X96" s="0" t="s">
        <v>46</v>
      </c>
      <c r="Y96" s="0" t="s">
        <v>46</v>
      </c>
      <c r="Z96" s="0" t="s">
        <v>183</v>
      </c>
      <c r="AA96" s="0" t="s">
        <v>171</v>
      </c>
      <c r="AB96" s="0" t="s">
        <v>46</v>
      </c>
      <c r="AC96" s="0" t="s">
        <v>51</v>
      </c>
      <c r="AD96" s="0" t="s">
        <v>689</v>
      </c>
      <c r="AE96" s="0" t="s">
        <v>690</v>
      </c>
      <c r="AF96" s="0" t="s">
        <v>691</v>
      </c>
      <c r="AG96" s="0" t="s">
        <v>692</v>
      </c>
      <c r="AH96" s="0" t="s">
        <v>46</v>
      </c>
      <c r="AI96" s="0" t="s">
        <v>46</v>
      </c>
      <c r="AJ96" s="0" t="s">
        <v>46</v>
      </c>
      <c r="AK96" s="0" t="s">
        <v>46</v>
      </c>
      <c r="AL96" s="0" t="s">
        <v>46</v>
      </c>
    </row>
    <row r="97" customFormat="false" ht="15" hidden="false" customHeight="false" outlineLevel="0" collapsed="false">
      <c r="B97" s="0" t="str">
        <f aca="false">HYPERLINK("https://genome.ucsc.edu/cgi-bin/hgTracks?db=hg19&amp;position=chr10%3A126683123%2D126683123", "chr10:126683123")</f>
        <v>chr10:126683123</v>
      </c>
      <c r="C97" s="0" t="s">
        <v>199</v>
      </c>
      <c r="D97" s="0" t="n">
        <v>126683123</v>
      </c>
      <c r="E97" s="0" t="n">
        <v>126683123</v>
      </c>
      <c r="F97" s="0" t="s">
        <v>57</v>
      </c>
      <c r="G97" s="0" t="s">
        <v>39</v>
      </c>
      <c r="H97" s="0" t="s">
        <v>731</v>
      </c>
      <c r="I97" s="0" t="s">
        <v>732</v>
      </c>
      <c r="J97" s="0" t="s">
        <v>733</v>
      </c>
      <c r="K97" s="0" t="s">
        <v>46</v>
      </c>
      <c r="L97" s="0" t="str">
        <f aca="false">HYPERLINK("https://www.ncbi.nlm.nih.gov/snp/rs79936509", "rs79936509")</f>
        <v>rs79936509</v>
      </c>
      <c r="M97" s="0" t="str">
        <f aca="false">HYPERLINK("https://www.genecards.org/Search/Keyword?queryString=%5Baliases%5D(%20CTBP2%20)&amp;keywords=CTBP2", "CTBP2")</f>
        <v>CTBP2</v>
      </c>
      <c r="N97" s="0" t="s">
        <v>98</v>
      </c>
      <c r="O97" s="0" t="s">
        <v>99</v>
      </c>
      <c r="P97" s="0" t="s">
        <v>734</v>
      </c>
      <c r="Q97" s="0" t="n">
        <v>3.23E-005</v>
      </c>
      <c r="R97" s="0" t="n">
        <v>-1</v>
      </c>
      <c r="S97" s="0" t="n">
        <v>-1</v>
      </c>
      <c r="T97" s="0" t="n">
        <v>-1</v>
      </c>
      <c r="U97" s="0" t="n">
        <v>-1</v>
      </c>
      <c r="V97" s="0" t="s">
        <v>697</v>
      </c>
      <c r="W97" s="0" t="s">
        <v>46</v>
      </c>
      <c r="X97" s="0" t="s">
        <v>46</v>
      </c>
      <c r="Y97" s="0" t="s">
        <v>46</v>
      </c>
      <c r="Z97" s="0" t="s">
        <v>240</v>
      </c>
      <c r="AA97" s="0" t="s">
        <v>171</v>
      </c>
      <c r="AB97" s="0" t="s">
        <v>46</v>
      </c>
      <c r="AC97" s="0" t="s">
        <v>51</v>
      </c>
      <c r="AD97" s="0" t="s">
        <v>689</v>
      </c>
      <c r="AE97" s="0" t="s">
        <v>690</v>
      </c>
      <c r="AF97" s="0" t="s">
        <v>691</v>
      </c>
      <c r="AG97" s="0" t="s">
        <v>692</v>
      </c>
      <c r="AH97" s="0" t="s">
        <v>46</v>
      </c>
      <c r="AI97" s="0" t="s">
        <v>46</v>
      </c>
      <c r="AJ97" s="0" t="s">
        <v>46</v>
      </c>
      <c r="AK97" s="0" t="s">
        <v>46</v>
      </c>
      <c r="AL97" s="0" t="s">
        <v>46</v>
      </c>
    </row>
    <row r="98" customFormat="false" ht="15" hidden="false" customHeight="false" outlineLevel="0" collapsed="false">
      <c r="B98" s="0" t="str">
        <f aca="false">HYPERLINK("https://genome.ucsc.edu/cgi-bin/hgTracks?db=hg19&amp;position=chr10%3A126683132%2D126683132", "chr10:126683132")</f>
        <v>chr10:126683132</v>
      </c>
      <c r="C98" s="0" t="s">
        <v>199</v>
      </c>
      <c r="D98" s="0" t="n">
        <v>126683132</v>
      </c>
      <c r="E98" s="0" t="n">
        <v>126683132</v>
      </c>
      <c r="F98" s="0" t="s">
        <v>57</v>
      </c>
      <c r="G98" s="0" t="s">
        <v>40</v>
      </c>
      <c r="H98" s="0" t="s">
        <v>735</v>
      </c>
      <c r="I98" s="0" t="s">
        <v>736</v>
      </c>
      <c r="J98" s="0" t="s">
        <v>737</v>
      </c>
      <c r="K98" s="0" t="s">
        <v>46</v>
      </c>
      <c r="L98" s="0" t="str">
        <f aca="false">HYPERLINK("https://www.ncbi.nlm.nih.gov/snp/rs150320719", "rs150320719")</f>
        <v>rs150320719</v>
      </c>
      <c r="M98" s="0" t="str">
        <f aca="false">HYPERLINK("https://www.genecards.org/Search/Keyword?queryString=%5Baliases%5D(%20CTBP2%20)&amp;keywords=CTBP2", "CTBP2")</f>
        <v>CTBP2</v>
      </c>
      <c r="N98" s="0" t="s">
        <v>98</v>
      </c>
      <c r="O98" s="0" t="s">
        <v>99</v>
      </c>
      <c r="P98" s="0" t="s">
        <v>738</v>
      </c>
      <c r="Q98" s="0" t="n">
        <v>1.29E-005</v>
      </c>
      <c r="R98" s="0" t="n">
        <v>-1</v>
      </c>
      <c r="S98" s="0" t="n">
        <v>-1</v>
      </c>
      <c r="T98" s="0" t="n">
        <v>-1</v>
      </c>
      <c r="U98" s="0" t="n">
        <v>-1</v>
      </c>
      <c r="V98" s="0" t="s">
        <v>730</v>
      </c>
      <c r="W98" s="0" t="s">
        <v>46</v>
      </c>
      <c r="X98" s="0" t="s">
        <v>46</v>
      </c>
      <c r="Y98" s="0" t="s">
        <v>46</v>
      </c>
      <c r="Z98" s="0" t="s">
        <v>240</v>
      </c>
      <c r="AA98" s="0" t="s">
        <v>171</v>
      </c>
      <c r="AB98" s="0" t="s">
        <v>46</v>
      </c>
      <c r="AC98" s="0" t="s">
        <v>51</v>
      </c>
      <c r="AD98" s="0" t="s">
        <v>689</v>
      </c>
      <c r="AE98" s="0" t="s">
        <v>690</v>
      </c>
      <c r="AF98" s="0" t="s">
        <v>691</v>
      </c>
      <c r="AG98" s="0" t="s">
        <v>692</v>
      </c>
      <c r="AH98" s="0" t="s">
        <v>46</v>
      </c>
      <c r="AI98" s="0" t="s">
        <v>46</v>
      </c>
      <c r="AJ98" s="0" t="s">
        <v>46</v>
      </c>
      <c r="AK98" s="0" t="s">
        <v>46</v>
      </c>
      <c r="AL98" s="0" t="s">
        <v>46</v>
      </c>
    </row>
    <row r="99" customFormat="false" ht="15" hidden="false" customHeight="false" outlineLevel="0" collapsed="false">
      <c r="B99" s="0" t="str">
        <f aca="false">HYPERLINK("https://genome.ucsc.edu/cgi-bin/hgTracks?db=hg19&amp;position=chr10%3A126683146%2D126683146", "chr10:126683146")</f>
        <v>chr10:126683146</v>
      </c>
      <c r="C99" s="0" t="s">
        <v>199</v>
      </c>
      <c r="D99" s="0" t="n">
        <v>126683146</v>
      </c>
      <c r="E99" s="0" t="n">
        <v>126683146</v>
      </c>
      <c r="F99" s="0" t="s">
        <v>39</v>
      </c>
      <c r="G99" s="0" t="s">
        <v>57</v>
      </c>
      <c r="H99" s="0" t="s">
        <v>739</v>
      </c>
      <c r="I99" s="0" t="s">
        <v>740</v>
      </c>
      <c r="J99" s="0" t="s">
        <v>741</v>
      </c>
      <c r="K99" s="0" t="s">
        <v>46</v>
      </c>
      <c r="L99" s="0" t="str">
        <f aca="false">HYPERLINK("https://www.ncbi.nlm.nih.gov/snp/rs80025996", "rs80025996")</f>
        <v>rs80025996</v>
      </c>
      <c r="M99" s="0" t="str">
        <f aca="false">HYPERLINK("https://www.genecards.org/Search/Keyword?queryString=%5Baliases%5D(%20CTBP2%20)&amp;keywords=CTBP2", "CTBP2")</f>
        <v>CTBP2</v>
      </c>
      <c r="N99" s="0" t="s">
        <v>98</v>
      </c>
      <c r="O99" s="0" t="s">
        <v>99</v>
      </c>
      <c r="P99" s="0" t="s">
        <v>742</v>
      </c>
      <c r="Q99" s="0" t="n">
        <v>1.94E-005</v>
      </c>
      <c r="R99" s="0" t="n">
        <v>-1</v>
      </c>
      <c r="S99" s="0" t="n">
        <v>-1</v>
      </c>
      <c r="T99" s="0" t="n">
        <v>-1</v>
      </c>
      <c r="U99" s="0" t="n">
        <v>-1</v>
      </c>
      <c r="V99" s="0" t="s">
        <v>480</v>
      </c>
      <c r="W99" s="0" t="s">
        <v>46</v>
      </c>
      <c r="X99" s="0" t="s">
        <v>46</v>
      </c>
      <c r="Y99" s="0" t="s">
        <v>46</v>
      </c>
      <c r="Z99" s="0" t="s">
        <v>231</v>
      </c>
      <c r="AA99" s="0" t="s">
        <v>171</v>
      </c>
      <c r="AB99" s="0" t="s">
        <v>46</v>
      </c>
      <c r="AC99" s="0" t="s">
        <v>51</v>
      </c>
      <c r="AD99" s="0" t="s">
        <v>689</v>
      </c>
      <c r="AE99" s="0" t="s">
        <v>690</v>
      </c>
      <c r="AF99" s="0" t="s">
        <v>691</v>
      </c>
      <c r="AG99" s="0" t="s">
        <v>692</v>
      </c>
      <c r="AH99" s="0" t="s">
        <v>46</v>
      </c>
      <c r="AI99" s="0" t="s">
        <v>46</v>
      </c>
      <c r="AJ99" s="0" t="s">
        <v>46</v>
      </c>
      <c r="AK99" s="0" t="s">
        <v>46</v>
      </c>
      <c r="AL99" s="0" t="s">
        <v>46</v>
      </c>
    </row>
    <row r="100" customFormat="false" ht="15" hidden="false" customHeight="false" outlineLevel="0" collapsed="false">
      <c r="B100" s="0" t="str">
        <f aca="false">HYPERLINK("https://genome.ucsc.edu/cgi-bin/hgTracks?db=hg19&amp;position=chr10%3A126683151%2D126683151", "chr10:126683151")</f>
        <v>chr10:126683151</v>
      </c>
      <c r="C100" s="0" t="s">
        <v>199</v>
      </c>
      <c r="D100" s="0" t="n">
        <v>126683151</v>
      </c>
      <c r="E100" s="0" t="n">
        <v>126683151</v>
      </c>
      <c r="F100" s="0" t="s">
        <v>39</v>
      </c>
      <c r="G100" s="0" t="s">
        <v>40</v>
      </c>
      <c r="H100" s="0" t="s">
        <v>743</v>
      </c>
      <c r="I100" s="0" t="s">
        <v>590</v>
      </c>
      <c r="J100" s="0" t="s">
        <v>591</v>
      </c>
      <c r="K100" s="0" t="s">
        <v>46</v>
      </c>
      <c r="L100" s="0" t="str">
        <f aca="false">HYPERLINK("https://www.ncbi.nlm.nih.gov/snp/rs76203768", "rs76203768")</f>
        <v>rs76203768</v>
      </c>
      <c r="M100" s="0" t="str">
        <f aca="false">HYPERLINK("https://www.genecards.org/Search/Keyword?queryString=%5Baliases%5D(%20CTBP2%20)&amp;keywords=CTBP2", "CTBP2")</f>
        <v>CTBP2</v>
      </c>
      <c r="N100" s="0" t="s">
        <v>98</v>
      </c>
      <c r="O100" s="0" t="s">
        <v>99</v>
      </c>
      <c r="P100" s="0" t="s">
        <v>744</v>
      </c>
      <c r="Q100" s="0" t="n">
        <v>4.53E-005</v>
      </c>
      <c r="R100" s="0" t="n">
        <v>-1</v>
      </c>
      <c r="S100" s="0" t="n">
        <v>-1</v>
      </c>
      <c r="T100" s="0" t="n">
        <v>-1</v>
      </c>
      <c r="U100" s="0" t="n">
        <v>-1</v>
      </c>
      <c r="V100" s="0" t="s">
        <v>596</v>
      </c>
      <c r="W100" s="0" t="s">
        <v>46</v>
      </c>
      <c r="X100" s="0" t="s">
        <v>46</v>
      </c>
      <c r="Y100" s="0" t="s">
        <v>46</v>
      </c>
      <c r="Z100" s="0" t="s">
        <v>183</v>
      </c>
      <c r="AA100" s="0" t="s">
        <v>171</v>
      </c>
      <c r="AB100" s="0" t="s">
        <v>46</v>
      </c>
      <c r="AC100" s="0" t="s">
        <v>51</v>
      </c>
      <c r="AD100" s="0" t="s">
        <v>689</v>
      </c>
      <c r="AE100" s="0" t="s">
        <v>690</v>
      </c>
      <c r="AF100" s="0" t="s">
        <v>691</v>
      </c>
      <c r="AG100" s="0" t="s">
        <v>692</v>
      </c>
      <c r="AH100" s="0" t="s">
        <v>46</v>
      </c>
      <c r="AI100" s="0" t="s">
        <v>46</v>
      </c>
      <c r="AJ100" s="0" t="s">
        <v>46</v>
      </c>
      <c r="AK100" s="0" t="s">
        <v>46</v>
      </c>
      <c r="AL100" s="0" t="s">
        <v>46</v>
      </c>
    </row>
    <row r="101" customFormat="false" ht="15" hidden="false" customHeight="false" outlineLevel="0" collapsed="false">
      <c r="B101" s="0" t="str">
        <f aca="false">HYPERLINK("https://genome.ucsc.edu/cgi-bin/hgTracks?db=hg19&amp;position=chr10%3A126683162%2D126683162", "chr10:126683162")</f>
        <v>chr10:126683162</v>
      </c>
      <c r="C101" s="0" t="s">
        <v>199</v>
      </c>
      <c r="D101" s="0" t="n">
        <v>126683162</v>
      </c>
      <c r="E101" s="0" t="n">
        <v>126683162</v>
      </c>
      <c r="F101" s="0" t="s">
        <v>39</v>
      </c>
      <c r="G101" s="0" t="s">
        <v>40</v>
      </c>
      <c r="H101" s="0" t="s">
        <v>745</v>
      </c>
      <c r="I101" s="0" t="s">
        <v>590</v>
      </c>
      <c r="J101" s="0" t="s">
        <v>746</v>
      </c>
      <c r="K101" s="0" t="s">
        <v>46</v>
      </c>
      <c r="L101" s="0" t="str">
        <f aca="false">HYPERLINK("https://www.ncbi.nlm.nih.gov/snp/rs75420260", "rs75420260")</f>
        <v>rs75420260</v>
      </c>
      <c r="M101" s="0" t="str">
        <f aca="false">HYPERLINK("https://www.genecards.org/Search/Keyword?queryString=%5Baliases%5D(%20CTBP2%20)&amp;keywords=CTBP2", "CTBP2")</f>
        <v>CTBP2</v>
      </c>
      <c r="N101" s="0" t="s">
        <v>98</v>
      </c>
      <c r="O101" s="0" t="s">
        <v>99</v>
      </c>
      <c r="P101" s="0" t="s">
        <v>747</v>
      </c>
      <c r="Q101" s="0" t="n">
        <v>2.59E-005</v>
      </c>
      <c r="R101" s="0" t="n">
        <v>-1</v>
      </c>
      <c r="S101" s="0" t="n">
        <v>-1</v>
      </c>
      <c r="T101" s="0" t="n">
        <v>-1</v>
      </c>
      <c r="U101" s="0" t="n">
        <v>-1</v>
      </c>
      <c r="V101" s="0" t="s">
        <v>688</v>
      </c>
      <c r="W101" s="0" t="s">
        <v>46</v>
      </c>
      <c r="X101" s="0" t="s">
        <v>46</v>
      </c>
      <c r="Y101" s="0" t="s">
        <v>46</v>
      </c>
      <c r="Z101" s="0" t="s">
        <v>183</v>
      </c>
      <c r="AA101" s="0" t="s">
        <v>171</v>
      </c>
      <c r="AB101" s="0" t="s">
        <v>46</v>
      </c>
      <c r="AC101" s="0" t="s">
        <v>51</v>
      </c>
      <c r="AD101" s="0" t="s">
        <v>689</v>
      </c>
      <c r="AE101" s="0" t="s">
        <v>690</v>
      </c>
      <c r="AF101" s="0" t="s">
        <v>691</v>
      </c>
      <c r="AG101" s="0" t="s">
        <v>692</v>
      </c>
      <c r="AH101" s="0" t="s">
        <v>46</v>
      </c>
      <c r="AI101" s="0" t="s">
        <v>46</v>
      </c>
      <c r="AJ101" s="0" t="s">
        <v>46</v>
      </c>
      <c r="AK101" s="0" t="s">
        <v>46</v>
      </c>
      <c r="AL101" s="0" t="s">
        <v>46</v>
      </c>
    </row>
    <row r="102" customFormat="false" ht="15" hidden="false" customHeight="false" outlineLevel="0" collapsed="false">
      <c r="B102" s="0" t="str">
        <f aca="false">HYPERLINK("https://genome.ucsc.edu/cgi-bin/hgTracks?db=hg19&amp;position=chr10%3A126683190%2D126683190", "chr10:126683190")</f>
        <v>chr10:126683190</v>
      </c>
      <c r="C102" s="0" t="s">
        <v>199</v>
      </c>
      <c r="D102" s="0" t="n">
        <v>126683190</v>
      </c>
      <c r="E102" s="0" t="n">
        <v>126683190</v>
      </c>
      <c r="F102" s="0" t="s">
        <v>39</v>
      </c>
      <c r="G102" s="0" t="s">
        <v>57</v>
      </c>
      <c r="H102" s="0" t="s">
        <v>748</v>
      </c>
      <c r="I102" s="0" t="s">
        <v>166</v>
      </c>
      <c r="J102" s="0" t="s">
        <v>749</v>
      </c>
      <c r="K102" s="0" t="s">
        <v>46</v>
      </c>
      <c r="L102" s="0" t="str">
        <f aca="false">HYPERLINK("https://www.ncbi.nlm.nih.gov/snp/rs78681531", "rs78681531")</f>
        <v>rs78681531</v>
      </c>
      <c r="M102" s="0" t="str">
        <f aca="false">HYPERLINK("https://www.genecards.org/Search/Keyword?queryString=%5Baliases%5D(%20CTBP2%20)&amp;keywords=CTBP2", "CTBP2")</f>
        <v>CTBP2</v>
      </c>
      <c r="N102" s="0" t="s">
        <v>98</v>
      </c>
      <c r="O102" s="0" t="s">
        <v>99</v>
      </c>
      <c r="P102" s="0" t="s">
        <v>750</v>
      </c>
      <c r="Q102" s="0" t="n">
        <v>2.59E-005</v>
      </c>
      <c r="R102" s="0" t="n">
        <v>-1</v>
      </c>
      <c r="S102" s="0" t="n">
        <v>-1</v>
      </c>
      <c r="T102" s="0" t="n">
        <v>-1</v>
      </c>
      <c r="U102" s="0" t="n">
        <v>-1</v>
      </c>
      <c r="V102" s="0" t="s">
        <v>730</v>
      </c>
      <c r="W102" s="0" t="s">
        <v>46</v>
      </c>
      <c r="X102" s="0" t="s">
        <v>46</v>
      </c>
      <c r="Y102" s="0" t="s">
        <v>46</v>
      </c>
      <c r="Z102" s="0" t="s">
        <v>481</v>
      </c>
      <c r="AA102" s="0" t="s">
        <v>171</v>
      </c>
      <c r="AB102" s="0" t="s">
        <v>46</v>
      </c>
      <c r="AC102" s="0" t="s">
        <v>51</v>
      </c>
      <c r="AD102" s="0" t="s">
        <v>689</v>
      </c>
      <c r="AE102" s="0" t="s">
        <v>690</v>
      </c>
      <c r="AF102" s="0" t="s">
        <v>691</v>
      </c>
      <c r="AG102" s="0" t="s">
        <v>692</v>
      </c>
      <c r="AH102" s="0" t="s">
        <v>46</v>
      </c>
      <c r="AI102" s="0" t="s">
        <v>46</v>
      </c>
      <c r="AJ102" s="0" t="s">
        <v>46</v>
      </c>
      <c r="AK102" s="0" t="s">
        <v>46</v>
      </c>
      <c r="AL102" s="0" t="s">
        <v>46</v>
      </c>
    </row>
    <row r="103" customFormat="false" ht="15" hidden="false" customHeight="false" outlineLevel="0" collapsed="false">
      <c r="B103" s="0" t="str">
        <f aca="false">HYPERLINK("https://genome.ucsc.edu/cgi-bin/hgTracks?db=hg19&amp;position=chr10%3A126683237%2D126683237", "chr10:126683237")</f>
        <v>chr10:126683237</v>
      </c>
      <c r="C103" s="0" t="s">
        <v>199</v>
      </c>
      <c r="D103" s="0" t="n">
        <v>126683237</v>
      </c>
      <c r="E103" s="0" t="n">
        <v>126683237</v>
      </c>
      <c r="F103" s="0" t="s">
        <v>69</v>
      </c>
      <c r="G103" s="0" t="s">
        <v>40</v>
      </c>
      <c r="H103" s="0" t="s">
        <v>751</v>
      </c>
      <c r="I103" s="0" t="s">
        <v>752</v>
      </c>
      <c r="J103" s="0" t="s">
        <v>753</v>
      </c>
      <c r="K103" s="0" t="s">
        <v>46</v>
      </c>
      <c r="L103" s="0" t="str">
        <f aca="false">HYPERLINK("https://www.ncbi.nlm.nih.gov/snp/rs186926607", "rs186926607")</f>
        <v>rs186926607</v>
      </c>
      <c r="M103" s="0" t="str">
        <f aca="false">HYPERLINK("https://www.genecards.org/Search/Keyword?queryString=%5Baliases%5D(%20CTBP2%20)&amp;keywords=CTBP2", "CTBP2")</f>
        <v>CTBP2</v>
      </c>
      <c r="N103" s="0" t="s">
        <v>98</v>
      </c>
      <c r="O103" s="0" t="s">
        <v>99</v>
      </c>
      <c r="P103" s="0" t="s">
        <v>754</v>
      </c>
      <c r="Q103" s="0" t="n">
        <v>6.5E-006</v>
      </c>
      <c r="R103" s="0" t="n">
        <v>-1</v>
      </c>
      <c r="S103" s="0" t="n">
        <v>-1</v>
      </c>
      <c r="T103" s="0" t="n">
        <v>-1</v>
      </c>
      <c r="U103" s="0" t="n">
        <v>-1</v>
      </c>
      <c r="V103" s="0" t="s">
        <v>608</v>
      </c>
      <c r="W103" s="0" t="s">
        <v>46</v>
      </c>
      <c r="X103" s="0" t="s">
        <v>46</v>
      </c>
      <c r="Y103" s="0" t="s">
        <v>46</v>
      </c>
      <c r="Z103" s="0" t="s">
        <v>240</v>
      </c>
      <c r="AA103" s="0" t="s">
        <v>171</v>
      </c>
      <c r="AB103" s="0" t="s">
        <v>46</v>
      </c>
      <c r="AC103" s="0" t="s">
        <v>51</v>
      </c>
      <c r="AD103" s="0" t="s">
        <v>689</v>
      </c>
      <c r="AE103" s="0" t="s">
        <v>690</v>
      </c>
      <c r="AF103" s="0" t="s">
        <v>691</v>
      </c>
      <c r="AG103" s="0" t="s">
        <v>692</v>
      </c>
      <c r="AH103" s="0" t="s">
        <v>46</v>
      </c>
      <c r="AI103" s="0" t="s">
        <v>46</v>
      </c>
      <c r="AJ103" s="0" t="s">
        <v>46</v>
      </c>
      <c r="AK103" s="0" t="s">
        <v>46</v>
      </c>
      <c r="AL103" s="0" t="s">
        <v>46</v>
      </c>
    </row>
    <row r="104" customFormat="false" ht="15" hidden="false" customHeight="false" outlineLevel="0" collapsed="false">
      <c r="B104" s="0" t="str">
        <f aca="false">HYPERLINK("https://genome.ucsc.edu/cgi-bin/hgTracks?db=hg19&amp;position=chr10%3A126683243%2D126683243", "chr10:126683243")</f>
        <v>chr10:126683243</v>
      </c>
      <c r="C104" s="0" t="s">
        <v>199</v>
      </c>
      <c r="D104" s="0" t="n">
        <v>126683243</v>
      </c>
      <c r="E104" s="0" t="n">
        <v>126683243</v>
      </c>
      <c r="F104" s="0" t="s">
        <v>39</v>
      </c>
      <c r="G104" s="0" t="s">
        <v>40</v>
      </c>
      <c r="H104" s="0" t="s">
        <v>755</v>
      </c>
      <c r="I104" s="0" t="s">
        <v>756</v>
      </c>
      <c r="J104" s="0" t="s">
        <v>757</v>
      </c>
      <c r="K104" s="0" t="s">
        <v>46</v>
      </c>
      <c r="L104" s="0" t="str">
        <f aca="false">HYPERLINK("https://www.ncbi.nlm.nih.gov/snp/rs910050409", "rs910050409")</f>
        <v>rs910050409</v>
      </c>
      <c r="M104" s="0" t="str">
        <f aca="false">HYPERLINK("https://www.genecards.org/Search/Keyword?queryString=%5Baliases%5D(%20CTBP2%20)&amp;keywords=CTBP2", "CTBP2")</f>
        <v>CTBP2</v>
      </c>
      <c r="N104" s="0" t="s">
        <v>98</v>
      </c>
      <c r="O104" s="0" t="s">
        <v>99</v>
      </c>
      <c r="P104" s="0" t="s">
        <v>758</v>
      </c>
      <c r="Q104" s="0" t="n">
        <v>-1</v>
      </c>
      <c r="R104" s="0" t="n">
        <v>-1</v>
      </c>
      <c r="S104" s="0" t="n">
        <v>-1</v>
      </c>
      <c r="T104" s="0" t="n">
        <v>-1</v>
      </c>
      <c r="U104" s="0" t="n">
        <v>-1</v>
      </c>
      <c r="V104" s="0" t="s">
        <v>730</v>
      </c>
      <c r="W104" s="0" t="s">
        <v>46</v>
      </c>
      <c r="X104" s="0" t="s">
        <v>46</v>
      </c>
      <c r="Y104" s="0" t="s">
        <v>46</v>
      </c>
      <c r="Z104" s="0" t="s">
        <v>183</v>
      </c>
      <c r="AA104" s="0" t="s">
        <v>171</v>
      </c>
      <c r="AB104" s="0" t="s">
        <v>46</v>
      </c>
      <c r="AC104" s="0" t="s">
        <v>51</v>
      </c>
      <c r="AD104" s="0" t="s">
        <v>689</v>
      </c>
      <c r="AE104" s="0" t="s">
        <v>690</v>
      </c>
      <c r="AF104" s="0" t="s">
        <v>691</v>
      </c>
      <c r="AG104" s="0" t="s">
        <v>692</v>
      </c>
      <c r="AH104" s="0" t="s">
        <v>46</v>
      </c>
      <c r="AI104" s="0" t="s">
        <v>46</v>
      </c>
      <c r="AJ104" s="0" t="s">
        <v>46</v>
      </c>
      <c r="AK104" s="0" t="s">
        <v>46</v>
      </c>
      <c r="AL104" s="0" t="s">
        <v>46</v>
      </c>
    </row>
    <row r="105" customFormat="false" ht="15" hidden="false" customHeight="false" outlineLevel="0" collapsed="false">
      <c r="B105" s="0" t="str">
        <f aca="false">HYPERLINK("https://genome.ucsc.edu/cgi-bin/hgTracks?db=hg19&amp;position=chr10%3A126683244%2D126683244", "chr10:126683244")</f>
        <v>chr10:126683244</v>
      </c>
      <c r="C105" s="0" t="s">
        <v>199</v>
      </c>
      <c r="D105" s="0" t="n">
        <v>126683244</v>
      </c>
      <c r="E105" s="0" t="n">
        <v>126683244</v>
      </c>
      <c r="F105" s="0" t="s">
        <v>39</v>
      </c>
      <c r="G105" s="0" t="s">
        <v>69</v>
      </c>
      <c r="H105" s="0" t="s">
        <v>755</v>
      </c>
      <c r="I105" s="0" t="s">
        <v>756</v>
      </c>
      <c r="J105" s="0" t="s">
        <v>757</v>
      </c>
      <c r="K105" s="0" t="s">
        <v>46</v>
      </c>
      <c r="L105" s="0" t="str">
        <f aca="false">HYPERLINK("https://www.ncbi.nlm.nih.gov/snp/rs941565901", "rs941565901")</f>
        <v>rs941565901</v>
      </c>
      <c r="M105" s="0" t="str">
        <f aca="false">HYPERLINK("https://www.genecards.org/Search/Keyword?queryString=%5Baliases%5D(%20CTBP2%20)&amp;keywords=CTBP2", "CTBP2")</f>
        <v>CTBP2</v>
      </c>
      <c r="N105" s="0" t="s">
        <v>98</v>
      </c>
      <c r="O105" s="0" t="s">
        <v>99</v>
      </c>
      <c r="P105" s="0" t="s">
        <v>759</v>
      </c>
      <c r="Q105" s="0" t="n">
        <v>-1</v>
      </c>
      <c r="R105" s="0" t="n">
        <v>-1</v>
      </c>
      <c r="S105" s="0" t="n">
        <v>-1</v>
      </c>
      <c r="T105" s="0" t="n">
        <v>-1</v>
      </c>
      <c r="U105" s="0" t="n">
        <v>-1</v>
      </c>
      <c r="V105" s="0" t="s">
        <v>730</v>
      </c>
      <c r="W105" s="0" t="s">
        <v>46</v>
      </c>
      <c r="X105" s="0" t="s">
        <v>46</v>
      </c>
      <c r="Y105" s="0" t="s">
        <v>46</v>
      </c>
      <c r="Z105" s="0" t="s">
        <v>481</v>
      </c>
      <c r="AA105" s="0" t="s">
        <v>171</v>
      </c>
      <c r="AB105" s="0" t="s">
        <v>46</v>
      </c>
      <c r="AC105" s="0" t="s">
        <v>51</v>
      </c>
      <c r="AD105" s="0" t="s">
        <v>689</v>
      </c>
      <c r="AE105" s="0" t="s">
        <v>690</v>
      </c>
      <c r="AF105" s="0" t="s">
        <v>691</v>
      </c>
      <c r="AG105" s="0" t="s">
        <v>692</v>
      </c>
      <c r="AH105" s="0" t="s">
        <v>46</v>
      </c>
      <c r="AI105" s="0" t="s">
        <v>46</v>
      </c>
      <c r="AJ105" s="0" t="s">
        <v>46</v>
      </c>
      <c r="AK105" s="0" t="s">
        <v>46</v>
      </c>
      <c r="AL105" s="0" t="s">
        <v>46</v>
      </c>
    </row>
    <row r="106" customFormat="false" ht="15" hidden="false" customHeight="false" outlineLevel="0" collapsed="false">
      <c r="B106" s="0" t="str">
        <f aca="false">HYPERLINK("https://genome.ucsc.edu/cgi-bin/hgTracks?db=hg19&amp;position=chr10%3A126686646%2D126686646", "chr10:126686646")</f>
        <v>chr10:126686646</v>
      </c>
      <c r="C106" s="0" t="s">
        <v>199</v>
      </c>
      <c r="D106" s="0" t="n">
        <v>126686646</v>
      </c>
      <c r="E106" s="0" t="n">
        <v>126686646</v>
      </c>
      <c r="F106" s="0" t="s">
        <v>39</v>
      </c>
      <c r="G106" s="0" t="s">
        <v>69</v>
      </c>
      <c r="H106" s="0" t="s">
        <v>760</v>
      </c>
      <c r="I106" s="0" t="s">
        <v>761</v>
      </c>
      <c r="J106" s="0" t="s">
        <v>762</v>
      </c>
      <c r="K106" s="0" t="s">
        <v>46</v>
      </c>
      <c r="L106" s="0" t="str">
        <f aca="false">HYPERLINK("https://www.ncbi.nlm.nih.gov/snp/rs921417861", "rs921417861")</f>
        <v>rs921417861</v>
      </c>
      <c r="M106" s="0" t="str">
        <f aca="false">HYPERLINK("https://www.genecards.org/Search/Keyword?queryString=%5Baliases%5D(%20CTBP2%20)&amp;keywords=CTBP2", "CTBP2")</f>
        <v>CTBP2</v>
      </c>
      <c r="N106" s="0" t="s">
        <v>98</v>
      </c>
      <c r="O106" s="0" t="s">
        <v>99</v>
      </c>
      <c r="P106" s="0" t="s">
        <v>763</v>
      </c>
      <c r="Q106" s="0" t="n">
        <v>-1</v>
      </c>
      <c r="R106" s="0" t="n">
        <v>-1</v>
      </c>
      <c r="S106" s="0" t="n">
        <v>-1</v>
      </c>
      <c r="T106" s="0" t="n">
        <v>-1</v>
      </c>
      <c r="U106" s="0" t="n">
        <v>-1</v>
      </c>
      <c r="V106" s="0" t="s">
        <v>596</v>
      </c>
      <c r="W106" s="0" t="s">
        <v>46</v>
      </c>
      <c r="X106" s="0" t="s">
        <v>46</v>
      </c>
      <c r="Y106" s="0" t="s">
        <v>46</v>
      </c>
      <c r="Z106" s="0" t="s">
        <v>231</v>
      </c>
      <c r="AA106" s="0" t="s">
        <v>171</v>
      </c>
      <c r="AB106" s="0" t="s">
        <v>46</v>
      </c>
      <c r="AC106" s="0" t="s">
        <v>51</v>
      </c>
      <c r="AD106" s="0" t="s">
        <v>689</v>
      </c>
      <c r="AE106" s="0" t="s">
        <v>690</v>
      </c>
      <c r="AF106" s="0" t="s">
        <v>691</v>
      </c>
      <c r="AG106" s="0" t="s">
        <v>692</v>
      </c>
      <c r="AH106" s="0" t="s">
        <v>46</v>
      </c>
      <c r="AI106" s="0" t="s">
        <v>46</v>
      </c>
      <c r="AJ106" s="0" t="s">
        <v>46</v>
      </c>
      <c r="AK106" s="0" t="s">
        <v>46</v>
      </c>
      <c r="AL106" s="0" t="s">
        <v>46</v>
      </c>
    </row>
    <row r="107" customFormat="false" ht="15" hidden="false" customHeight="false" outlineLevel="0" collapsed="false">
      <c r="B107" s="0" t="str">
        <f aca="false">HYPERLINK("https://genome.ucsc.edu/cgi-bin/hgTracks?db=hg19&amp;position=chr10%3A126686649%2D126686649", "chr10:126686649")</f>
        <v>chr10:126686649</v>
      </c>
      <c r="C107" s="0" t="s">
        <v>199</v>
      </c>
      <c r="D107" s="0" t="n">
        <v>126686649</v>
      </c>
      <c r="E107" s="0" t="n">
        <v>126686649</v>
      </c>
      <c r="F107" s="0" t="s">
        <v>69</v>
      </c>
      <c r="G107" s="0" t="s">
        <v>39</v>
      </c>
      <c r="H107" s="0" t="s">
        <v>685</v>
      </c>
      <c r="I107" s="0" t="s">
        <v>764</v>
      </c>
      <c r="J107" s="0" t="s">
        <v>765</v>
      </c>
      <c r="K107" s="0" t="s">
        <v>46</v>
      </c>
      <c r="L107" s="0" t="str">
        <f aca="false">HYPERLINK("https://www.ncbi.nlm.nih.gov/snp/rs771702203", "rs771702203")</f>
        <v>rs771702203</v>
      </c>
      <c r="M107" s="0" t="str">
        <f aca="false">HYPERLINK("https://www.genecards.org/Search/Keyword?queryString=%5Baliases%5D(%20CTBP2%20)&amp;keywords=CTBP2", "CTBP2")</f>
        <v>CTBP2</v>
      </c>
      <c r="N107" s="0" t="s">
        <v>98</v>
      </c>
      <c r="O107" s="0" t="s">
        <v>99</v>
      </c>
      <c r="P107" s="0" t="s">
        <v>766</v>
      </c>
      <c r="Q107" s="0" t="n">
        <v>-1</v>
      </c>
      <c r="R107" s="0" t="n">
        <v>-1</v>
      </c>
      <c r="S107" s="0" t="n">
        <v>-1</v>
      </c>
      <c r="T107" s="0" t="n">
        <v>-1</v>
      </c>
      <c r="U107" s="0" t="n">
        <v>-1</v>
      </c>
      <c r="V107" s="0" t="s">
        <v>767</v>
      </c>
      <c r="W107" s="0" t="s">
        <v>46</v>
      </c>
      <c r="X107" s="0" t="s">
        <v>46</v>
      </c>
      <c r="Y107" s="0" t="s">
        <v>46</v>
      </c>
      <c r="Z107" s="0" t="s">
        <v>231</v>
      </c>
      <c r="AA107" s="0" t="s">
        <v>171</v>
      </c>
      <c r="AB107" s="0" t="s">
        <v>46</v>
      </c>
      <c r="AC107" s="0" t="s">
        <v>51</v>
      </c>
      <c r="AD107" s="0" t="s">
        <v>689</v>
      </c>
      <c r="AE107" s="0" t="s">
        <v>690</v>
      </c>
      <c r="AF107" s="0" t="s">
        <v>691</v>
      </c>
      <c r="AG107" s="0" t="s">
        <v>692</v>
      </c>
      <c r="AH107" s="0" t="s">
        <v>46</v>
      </c>
      <c r="AI107" s="0" t="s">
        <v>46</v>
      </c>
      <c r="AJ107" s="0" t="s">
        <v>46</v>
      </c>
      <c r="AK107" s="0" t="s">
        <v>46</v>
      </c>
      <c r="AL107" s="0" t="s">
        <v>46</v>
      </c>
    </row>
    <row r="108" customFormat="false" ht="15" hidden="false" customHeight="false" outlineLevel="0" collapsed="false">
      <c r="B108" s="0" t="str">
        <f aca="false">HYPERLINK("https://genome.ucsc.edu/cgi-bin/hgTracks?db=hg19&amp;position=chr10%3A126686656%2D126686656", "chr10:126686656")</f>
        <v>chr10:126686656</v>
      </c>
      <c r="C108" s="0" t="s">
        <v>199</v>
      </c>
      <c r="D108" s="0" t="n">
        <v>126686656</v>
      </c>
      <c r="E108" s="0" t="n">
        <v>126686656</v>
      </c>
      <c r="F108" s="0" t="s">
        <v>40</v>
      </c>
      <c r="G108" s="0" t="s">
        <v>39</v>
      </c>
      <c r="H108" s="0" t="s">
        <v>386</v>
      </c>
      <c r="I108" s="0" t="s">
        <v>768</v>
      </c>
      <c r="J108" s="0" t="s">
        <v>769</v>
      </c>
      <c r="K108" s="0" t="s">
        <v>46</v>
      </c>
      <c r="L108" s="0" t="str">
        <f aca="false">HYPERLINK("https://www.ncbi.nlm.nih.gov/snp/rs914098337", "rs914098337")</f>
        <v>rs914098337</v>
      </c>
      <c r="M108" s="0" t="str">
        <f aca="false">HYPERLINK("https://www.genecards.org/Search/Keyword?queryString=%5Baliases%5D(%20CTBP2%20)&amp;keywords=CTBP2", "CTBP2")</f>
        <v>CTBP2</v>
      </c>
      <c r="N108" s="0" t="s">
        <v>98</v>
      </c>
      <c r="O108" s="0" t="s">
        <v>99</v>
      </c>
      <c r="P108" s="0" t="s">
        <v>770</v>
      </c>
      <c r="Q108" s="0" t="n">
        <v>-1</v>
      </c>
      <c r="R108" s="0" t="n">
        <v>-1</v>
      </c>
      <c r="S108" s="0" t="n">
        <v>-1</v>
      </c>
      <c r="T108" s="0" t="n">
        <v>-1</v>
      </c>
      <c r="U108" s="0" t="n">
        <v>-1</v>
      </c>
      <c r="V108" s="0" t="s">
        <v>600</v>
      </c>
      <c r="W108" s="0" t="s">
        <v>46</v>
      </c>
      <c r="X108" s="0" t="s">
        <v>46</v>
      </c>
      <c r="Y108" s="0" t="s">
        <v>46</v>
      </c>
      <c r="Z108" s="0" t="s">
        <v>138</v>
      </c>
      <c r="AA108" s="0" t="s">
        <v>171</v>
      </c>
      <c r="AB108" s="0" t="s">
        <v>46</v>
      </c>
      <c r="AC108" s="0" t="s">
        <v>51</v>
      </c>
      <c r="AD108" s="0" t="s">
        <v>689</v>
      </c>
      <c r="AE108" s="0" t="s">
        <v>690</v>
      </c>
      <c r="AF108" s="0" t="s">
        <v>691</v>
      </c>
      <c r="AG108" s="0" t="s">
        <v>692</v>
      </c>
      <c r="AH108" s="0" t="s">
        <v>46</v>
      </c>
      <c r="AI108" s="0" t="s">
        <v>46</v>
      </c>
      <c r="AJ108" s="0" t="s">
        <v>46</v>
      </c>
      <c r="AK108" s="0" t="s">
        <v>46</v>
      </c>
      <c r="AL108" s="0" t="s">
        <v>46</v>
      </c>
    </row>
    <row r="109" customFormat="false" ht="15" hidden="false" customHeight="false" outlineLevel="0" collapsed="false">
      <c r="B109" s="0" t="str">
        <f aca="false">HYPERLINK("https://genome.ucsc.edu/cgi-bin/hgTracks?db=hg19&amp;position=chr10%3A126686659%2D126686659", "chr10:126686659")</f>
        <v>chr10:126686659</v>
      </c>
      <c r="C109" s="0" t="s">
        <v>199</v>
      </c>
      <c r="D109" s="0" t="n">
        <v>126686659</v>
      </c>
      <c r="E109" s="0" t="n">
        <v>126686659</v>
      </c>
      <c r="F109" s="0" t="s">
        <v>69</v>
      </c>
      <c r="G109" s="0" t="s">
        <v>57</v>
      </c>
      <c r="H109" s="0" t="s">
        <v>771</v>
      </c>
      <c r="I109" s="0" t="s">
        <v>772</v>
      </c>
      <c r="J109" s="0" t="s">
        <v>773</v>
      </c>
      <c r="K109" s="0" t="s">
        <v>46</v>
      </c>
      <c r="L109" s="0" t="str">
        <f aca="false">HYPERLINK("https://www.ncbi.nlm.nih.gov/snp/rs945665113", "rs945665113")</f>
        <v>rs945665113</v>
      </c>
      <c r="M109" s="0" t="str">
        <f aca="false">HYPERLINK("https://www.genecards.org/Search/Keyword?queryString=%5Baliases%5D(%20CTBP2%20)&amp;keywords=CTBP2", "CTBP2")</f>
        <v>CTBP2</v>
      </c>
      <c r="N109" s="0" t="s">
        <v>98</v>
      </c>
      <c r="O109" s="0" t="s">
        <v>99</v>
      </c>
      <c r="P109" s="0" t="s">
        <v>774</v>
      </c>
      <c r="Q109" s="0" t="n">
        <v>-1</v>
      </c>
      <c r="R109" s="0" t="n">
        <v>-1</v>
      </c>
      <c r="S109" s="0" t="n">
        <v>-1</v>
      </c>
      <c r="T109" s="0" t="n">
        <v>-1</v>
      </c>
      <c r="U109" s="0" t="n">
        <v>-1</v>
      </c>
      <c r="V109" s="0" t="s">
        <v>730</v>
      </c>
      <c r="W109" s="0" t="s">
        <v>46</v>
      </c>
      <c r="X109" s="0" t="s">
        <v>46</v>
      </c>
      <c r="Y109" s="0" t="s">
        <v>46</v>
      </c>
      <c r="Z109" s="0" t="s">
        <v>159</v>
      </c>
      <c r="AA109" s="0" t="s">
        <v>171</v>
      </c>
      <c r="AB109" s="0" t="s">
        <v>46</v>
      </c>
      <c r="AC109" s="0" t="s">
        <v>51</v>
      </c>
      <c r="AD109" s="0" t="s">
        <v>689</v>
      </c>
      <c r="AE109" s="0" t="s">
        <v>690</v>
      </c>
      <c r="AF109" s="0" t="s">
        <v>691</v>
      </c>
      <c r="AG109" s="0" t="s">
        <v>692</v>
      </c>
      <c r="AH109" s="0" t="s">
        <v>46</v>
      </c>
      <c r="AI109" s="0" t="s">
        <v>46</v>
      </c>
      <c r="AJ109" s="0" t="s">
        <v>46</v>
      </c>
      <c r="AK109" s="0" t="s">
        <v>46</v>
      </c>
      <c r="AL109" s="0" t="s">
        <v>46</v>
      </c>
    </row>
    <row r="110" customFormat="false" ht="15" hidden="false" customHeight="false" outlineLevel="0" collapsed="false">
      <c r="B110" s="0" t="str">
        <f aca="false">HYPERLINK("https://genome.ucsc.edu/cgi-bin/hgTracks?db=hg19&amp;position=chr10%3A126686680%2D126686680", "chr10:126686680")</f>
        <v>chr10:126686680</v>
      </c>
      <c r="C110" s="0" t="s">
        <v>199</v>
      </c>
      <c r="D110" s="0" t="n">
        <v>126686680</v>
      </c>
      <c r="E110" s="0" t="n">
        <v>126686680</v>
      </c>
      <c r="F110" s="0" t="s">
        <v>57</v>
      </c>
      <c r="G110" s="0" t="s">
        <v>39</v>
      </c>
      <c r="H110" s="0" t="s">
        <v>775</v>
      </c>
      <c r="I110" s="0" t="s">
        <v>768</v>
      </c>
      <c r="J110" s="0" t="s">
        <v>776</v>
      </c>
      <c r="K110" s="0" t="s">
        <v>46</v>
      </c>
      <c r="L110" s="0" t="str">
        <f aca="false">HYPERLINK("https://www.ncbi.nlm.nih.gov/snp/rs796159102", "rs796159102")</f>
        <v>rs796159102</v>
      </c>
      <c r="M110" s="0" t="str">
        <f aca="false">HYPERLINK("https://www.genecards.org/Search/Keyword?queryString=%5Baliases%5D(%20CTBP2%20)&amp;keywords=CTBP2", "CTBP2")</f>
        <v>CTBP2</v>
      </c>
      <c r="N110" s="0" t="s">
        <v>98</v>
      </c>
      <c r="O110" s="0" t="s">
        <v>99</v>
      </c>
      <c r="P110" s="0" t="s">
        <v>777</v>
      </c>
      <c r="Q110" s="0" t="n">
        <v>-1</v>
      </c>
      <c r="R110" s="0" t="n">
        <v>-1</v>
      </c>
      <c r="S110" s="0" t="n">
        <v>-1</v>
      </c>
      <c r="T110" s="0" t="n">
        <v>-1</v>
      </c>
      <c r="U110" s="0" t="n">
        <v>-1</v>
      </c>
      <c r="V110" s="0" t="s">
        <v>688</v>
      </c>
      <c r="W110" s="0" t="s">
        <v>46</v>
      </c>
      <c r="X110" s="0" t="s">
        <v>46</v>
      </c>
      <c r="Y110" s="0" t="s">
        <v>46</v>
      </c>
      <c r="Z110" s="0" t="s">
        <v>231</v>
      </c>
      <c r="AA110" s="0" t="s">
        <v>171</v>
      </c>
      <c r="AB110" s="0" t="s">
        <v>46</v>
      </c>
      <c r="AC110" s="0" t="s">
        <v>51</v>
      </c>
      <c r="AD110" s="0" t="s">
        <v>689</v>
      </c>
      <c r="AE110" s="0" t="s">
        <v>690</v>
      </c>
      <c r="AF110" s="0" t="s">
        <v>691</v>
      </c>
      <c r="AG110" s="0" t="s">
        <v>692</v>
      </c>
      <c r="AH110" s="0" t="s">
        <v>46</v>
      </c>
      <c r="AI110" s="0" t="s">
        <v>46</v>
      </c>
      <c r="AJ110" s="0" t="s">
        <v>46</v>
      </c>
      <c r="AK110" s="0" t="s">
        <v>46</v>
      </c>
      <c r="AL110" s="0" t="s">
        <v>46</v>
      </c>
    </row>
    <row r="111" customFormat="false" ht="15" hidden="false" customHeight="false" outlineLevel="0" collapsed="false">
      <c r="B111" s="0" t="str">
        <f aca="false">HYPERLINK("https://genome.ucsc.edu/cgi-bin/hgTracks?db=hg19&amp;position=chr10%3A126686682%2D126686682", "chr10:126686682")</f>
        <v>chr10:126686682</v>
      </c>
      <c r="C111" s="0" t="s">
        <v>199</v>
      </c>
      <c r="D111" s="0" t="n">
        <v>126686682</v>
      </c>
      <c r="E111" s="0" t="n">
        <v>126686682</v>
      </c>
      <c r="F111" s="0" t="s">
        <v>57</v>
      </c>
      <c r="G111" s="0" t="s">
        <v>69</v>
      </c>
      <c r="H111" s="0" t="s">
        <v>775</v>
      </c>
      <c r="I111" s="0" t="s">
        <v>768</v>
      </c>
      <c r="J111" s="0" t="s">
        <v>776</v>
      </c>
      <c r="K111" s="0" t="s">
        <v>46</v>
      </c>
      <c r="L111" s="0" t="str">
        <f aca="false">HYPERLINK("https://www.ncbi.nlm.nih.gov/snp/rs376695472", "rs376695472")</f>
        <v>rs376695472</v>
      </c>
      <c r="M111" s="0" t="str">
        <f aca="false">HYPERLINK("https://www.genecards.org/Search/Keyword?queryString=%5Baliases%5D(%20CTBP2%20)&amp;keywords=CTBP2", "CTBP2")</f>
        <v>CTBP2</v>
      </c>
      <c r="N111" s="0" t="s">
        <v>98</v>
      </c>
      <c r="O111" s="0" t="s">
        <v>99</v>
      </c>
      <c r="P111" s="0" t="s">
        <v>778</v>
      </c>
      <c r="Q111" s="0" t="n">
        <v>6.5E-006</v>
      </c>
      <c r="R111" s="0" t="n">
        <v>-1</v>
      </c>
      <c r="S111" s="0" t="n">
        <v>-1</v>
      </c>
      <c r="T111" s="0" t="n">
        <v>-1</v>
      </c>
      <c r="U111" s="0" t="n">
        <v>-1</v>
      </c>
      <c r="V111" s="0" t="s">
        <v>767</v>
      </c>
      <c r="W111" s="0" t="s">
        <v>46</v>
      </c>
      <c r="X111" s="0" t="s">
        <v>46</v>
      </c>
      <c r="Y111" s="0" t="s">
        <v>46</v>
      </c>
      <c r="Z111" s="0" t="s">
        <v>231</v>
      </c>
      <c r="AA111" s="0" t="s">
        <v>171</v>
      </c>
      <c r="AB111" s="0" t="s">
        <v>46</v>
      </c>
      <c r="AC111" s="0" t="s">
        <v>51</v>
      </c>
      <c r="AD111" s="0" t="s">
        <v>689</v>
      </c>
      <c r="AE111" s="0" t="s">
        <v>690</v>
      </c>
      <c r="AF111" s="0" t="s">
        <v>691</v>
      </c>
      <c r="AG111" s="0" t="s">
        <v>692</v>
      </c>
      <c r="AH111" s="0" t="s">
        <v>46</v>
      </c>
      <c r="AI111" s="0" t="s">
        <v>46</v>
      </c>
      <c r="AJ111" s="0" t="s">
        <v>46</v>
      </c>
      <c r="AK111" s="0" t="s">
        <v>46</v>
      </c>
      <c r="AL111" s="0" t="s">
        <v>46</v>
      </c>
    </row>
    <row r="112" customFormat="false" ht="15" hidden="false" customHeight="false" outlineLevel="0" collapsed="false">
      <c r="B112" s="0" t="str">
        <f aca="false">HYPERLINK("https://genome.ucsc.edu/cgi-bin/hgTracks?db=hg19&amp;position=chr10%3A126691575%2D126691575", "chr10:126691575")</f>
        <v>chr10:126691575</v>
      </c>
      <c r="C112" s="0" t="s">
        <v>199</v>
      </c>
      <c r="D112" s="0" t="n">
        <v>126691575</v>
      </c>
      <c r="E112" s="0" t="n">
        <v>126691575</v>
      </c>
      <c r="F112" s="0" t="s">
        <v>40</v>
      </c>
      <c r="G112" s="0" t="s">
        <v>39</v>
      </c>
      <c r="H112" s="0" t="s">
        <v>630</v>
      </c>
      <c r="I112" s="0" t="s">
        <v>779</v>
      </c>
      <c r="J112" s="0" t="s">
        <v>780</v>
      </c>
      <c r="K112" s="0" t="s">
        <v>46</v>
      </c>
      <c r="L112" s="0" t="str">
        <f aca="false">HYPERLINK("https://www.ncbi.nlm.nih.gov/snp/rs112239066", "rs112239066")</f>
        <v>rs112239066</v>
      </c>
      <c r="M112" s="0" t="str">
        <f aca="false">HYPERLINK("https://www.genecards.org/Search/Keyword?queryString=%5Baliases%5D(%20CTBP2%20)&amp;keywords=CTBP2", "CTBP2")</f>
        <v>CTBP2</v>
      </c>
      <c r="N112" s="0" t="s">
        <v>98</v>
      </c>
      <c r="O112" s="0" t="s">
        <v>99</v>
      </c>
      <c r="P112" s="0" t="s">
        <v>781</v>
      </c>
      <c r="Q112" s="0" t="n">
        <v>1.94E-005</v>
      </c>
      <c r="R112" s="0" t="n">
        <v>-1</v>
      </c>
      <c r="S112" s="0" t="n">
        <v>-1</v>
      </c>
      <c r="T112" s="0" t="n">
        <v>-1</v>
      </c>
      <c r="U112" s="0" t="n">
        <v>-1</v>
      </c>
      <c r="V112" s="0" t="s">
        <v>596</v>
      </c>
      <c r="W112" s="0" t="s">
        <v>46</v>
      </c>
      <c r="X112" s="0" t="s">
        <v>46</v>
      </c>
      <c r="Y112" s="0" t="s">
        <v>46</v>
      </c>
      <c r="Z112" s="0" t="s">
        <v>138</v>
      </c>
      <c r="AA112" s="0" t="s">
        <v>171</v>
      </c>
      <c r="AB112" s="0" t="s">
        <v>46</v>
      </c>
      <c r="AC112" s="0" t="s">
        <v>51</v>
      </c>
      <c r="AD112" s="0" t="s">
        <v>689</v>
      </c>
      <c r="AE112" s="0" t="s">
        <v>690</v>
      </c>
      <c r="AF112" s="0" t="s">
        <v>691</v>
      </c>
      <c r="AG112" s="0" t="s">
        <v>692</v>
      </c>
      <c r="AH112" s="0" t="s">
        <v>46</v>
      </c>
      <c r="AI112" s="0" t="s">
        <v>46</v>
      </c>
      <c r="AJ112" s="0" t="s">
        <v>46</v>
      </c>
      <c r="AK112" s="0" t="s">
        <v>46</v>
      </c>
      <c r="AL112" s="0" t="s">
        <v>46</v>
      </c>
    </row>
    <row r="113" customFormat="false" ht="15" hidden="false" customHeight="false" outlineLevel="0" collapsed="false">
      <c r="B113" s="0" t="str">
        <f aca="false">HYPERLINK("https://genome.ucsc.edu/cgi-bin/hgTracks?db=hg19&amp;position=chr10%3A126691577%2D126691577", "chr10:126691577")</f>
        <v>chr10:126691577</v>
      </c>
      <c r="C113" s="0" t="s">
        <v>199</v>
      </c>
      <c r="D113" s="0" t="n">
        <v>126691577</v>
      </c>
      <c r="E113" s="0" t="n">
        <v>126691577</v>
      </c>
      <c r="F113" s="0" t="s">
        <v>40</v>
      </c>
      <c r="G113" s="0" t="s">
        <v>39</v>
      </c>
      <c r="H113" s="0" t="s">
        <v>782</v>
      </c>
      <c r="I113" s="0" t="s">
        <v>220</v>
      </c>
      <c r="J113" s="0" t="s">
        <v>783</v>
      </c>
      <c r="K113" s="0" t="s">
        <v>46</v>
      </c>
      <c r="L113" s="0" t="str">
        <f aca="false">HYPERLINK("https://www.ncbi.nlm.nih.gov/snp/rs112508291", "rs112508291")</f>
        <v>rs112508291</v>
      </c>
      <c r="M113" s="0" t="str">
        <f aca="false">HYPERLINK("https://www.genecards.org/Search/Keyword?queryString=%5Baliases%5D(%20CTBP2%20)&amp;keywords=CTBP2", "CTBP2")</f>
        <v>CTBP2</v>
      </c>
      <c r="N113" s="0" t="s">
        <v>98</v>
      </c>
      <c r="O113" s="0" t="s">
        <v>99</v>
      </c>
      <c r="P113" s="0" t="s">
        <v>784</v>
      </c>
      <c r="Q113" s="0" t="n">
        <v>1.94E-005</v>
      </c>
      <c r="R113" s="0" t="n">
        <v>-1</v>
      </c>
      <c r="S113" s="0" t="n">
        <v>-1</v>
      </c>
      <c r="T113" s="0" t="n">
        <v>-1</v>
      </c>
      <c r="U113" s="0" t="n">
        <v>-1</v>
      </c>
      <c r="V113" s="0" t="s">
        <v>600</v>
      </c>
      <c r="W113" s="0" t="s">
        <v>46</v>
      </c>
      <c r="X113" s="0" t="s">
        <v>46</v>
      </c>
      <c r="Y113" s="0" t="s">
        <v>46</v>
      </c>
      <c r="Z113" s="0" t="s">
        <v>102</v>
      </c>
      <c r="AA113" s="0" t="s">
        <v>171</v>
      </c>
      <c r="AB113" s="0" t="s">
        <v>46</v>
      </c>
      <c r="AC113" s="0" t="s">
        <v>51</v>
      </c>
      <c r="AD113" s="0" t="s">
        <v>689</v>
      </c>
      <c r="AE113" s="0" t="s">
        <v>690</v>
      </c>
      <c r="AF113" s="0" t="s">
        <v>691</v>
      </c>
      <c r="AG113" s="0" t="s">
        <v>692</v>
      </c>
      <c r="AH113" s="0" t="s">
        <v>46</v>
      </c>
      <c r="AI113" s="0" t="s">
        <v>46</v>
      </c>
      <c r="AJ113" s="0" t="s">
        <v>46</v>
      </c>
      <c r="AK113" s="0" t="s">
        <v>46</v>
      </c>
      <c r="AL113" s="0" t="s">
        <v>46</v>
      </c>
    </row>
    <row r="114" customFormat="false" ht="15" hidden="false" customHeight="false" outlineLevel="0" collapsed="false">
      <c r="B114" s="0" t="str">
        <f aca="false">HYPERLINK("https://genome.ucsc.edu/cgi-bin/hgTracks?db=hg19&amp;position=chr10%3A126691579%2D126691579", "chr10:126691579")</f>
        <v>chr10:126691579</v>
      </c>
      <c r="C114" s="0" t="s">
        <v>199</v>
      </c>
      <c r="D114" s="0" t="n">
        <v>126691579</v>
      </c>
      <c r="E114" s="0" t="n">
        <v>126691579</v>
      </c>
      <c r="F114" s="0" t="s">
        <v>39</v>
      </c>
      <c r="G114" s="0" t="s">
        <v>40</v>
      </c>
      <c r="H114" s="0" t="s">
        <v>785</v>
      </c>
      <c r="I114" s="0" t="s">
        <v>220</v>
      </c>
      <c r="J114" s="0" t="s">
        <v>786</v>
      </c>
      <c r="K114" s="0" t="s">
        <v>46</v>
      </c>
      <c r="L114" s="0" t="str">
        <f aca="false">HYPERLINK("https://www.ncbi.nlm.nih.gov/snp/rs760489730", "rs760489730")</f>
        <v>rs760489730</v>
      </c>
      <c r="M114" s="0" t="str">
        <f aca="false">HYPERLINK("https://www.genecards.org/Search/Keyword?queryString=%5Baliases%5D(%20CTBP2%20)&amp;keywords=CTBP2", "CTBP2")</f>
        <v>CTBP2</v>
      </c>
      <c r="N114" s="0" t="s">
        <v>98</v>
      </c>
      <c r="O114" s="0" t="s">
        <v>99</v>
      </c>
      <c r="P114" s="0" t="s">
        <v>787</v>
      </c>
      <c r="Q114" s="0" t="n">
        <v>6.5E-006</v>
      </c>
      <c r="R114" s="0" t="n">
        <v>-1</v>
      </c>
      <c r="S114" s="0" t="n">
        <v>-1</v>
      </c>
      <c r="T114" s="0" t="n">
        <v>-1</v>
      </c>
      <c r="U114" s="0" t="n">
        <v>-1</v>
      </c>
      <c r="V114" s="0" t="s">
        <v>767</v>
      </c>
      <c r="W114" s="0" t="s">
        <v>46</v>
      </c>
      <c r="X114" s="0" t="s">
        <v>46</v>
      </c>
      <c r="Y114" s="0" t="s">
        <v>46</v>
      </c>
      <c r="Z114" s="0" t="s">
        <v>231</v>
      </c>
      <c r="AA114" s="0" t="s">
        <v>171</v>
      </c>
      <c r="AB114" s="0" t="s">
        <v>46</v>
      </c>
      <c r="AC114" s="0" t="s">
        <v>51</v>
      </c>
      <c r="AD114" s="0" t="s">
        <v>689</v>
      </c>
      <c r="AE114" s="0" t="s">
        <v>690</v>
      </c>
      <c r="AF114" s="0" t="s">
        <v>691</v>
      </c>
      <c r="AG114" s="0" t="s">
        <v>692</v>
      </c>
      <c r="AH114" s="0" t="s">
        <v>46</v>
      </c>
      <c r="AI114" s="0" t="s">
        <v>46</v>
      </c>
      <c r="AJ114" s="0" t="s">
        <v>46</v>
      </c>
      <c r="AK114" s="0" t="s">
        <v>46</v>
      </c>
      <c r="AL114" s="0" t="s">
        <v>46</v>
      </c>
    </row>
    <row r="115" customFormat="false" ht="15" hidden="false" customHeight="false" outlineLevel="0" collapsed="false">
      <c r="B115" s="0" t="str">
        <f aca="false">HYPERLINK("https://genome.ucsc.edu/cgi-bin/hgTracks?db=hg19&amp;position=chr10%3A126691580%2D126691580", "chr10:126691580")</f>
        <v>chr10:126691580</v>
      </c>
      <c r="C115" s="0" t="s">
        <v>199</v>
      </c>
      <c r="D115" s="0" t="n">
        <v>126691580</v>
      </c>
      <c r="E115" s="0" t="n">
        <v>126691580</v>
      </c>
      <c r="F115" s="0" t="s">
        <v>69</v>
      </c>
      <c r="G115" s="0" t="s">
        <v>39</v>
      </c>
      <c r="H115" s="0" t="s">
        <v>406</v>
      </c>
      <c r="I115" s="0" t="s">
        <v>578</v>
      </c>
      <c r="J115" s="0" t="s">
        <v>788</v>
      </c>
      <c r="K115" s="0" t="s">
        <v>46</v>
      </c>
      <c r="L115" s="0" t="str">
        <f aca="false">HYPERLINK("https://www.ncbi.nlm.nih.gov/snp/rs796470232", "rs796470232")</f>
        <v>rs796470232</v>
      </c>
      <c r="M115" s="0" t="str">
        <f aca="false">HYPERLINK("https://www.genecards.org/Search/Keyword?queryString=%5Baliases%5D(%20CTBP2%20)&amp;keywords=CTBP2", "CTBP2")</f>
        <v>CTBP2</v>
      </c>
      <c r="N115" s="0" t="s">
        <v>98</v>
      </c>
      <c r="O115" s="0" t="s">
        <v>99</v>
      </c>
      <c r="P115" s="0" t="s">
        <v>789</v>
      </c>
      <c r="Q115" s="0" t="n">
        <v>1.29E-005</v>
      </c>
      <c r="R115" s="0" t="n">
        <v>-1</v>
      </c>
      <c r="S115" s="0" t="n">
        <v>-1</v>
      </c>
      <c r="T115" s="0" t="n">
        <v>-1</v>
      </c>
      <c r="U115" s="0" t="n">
        <v>-1</v>
      </c>
      <c r="V115" s="0" t="s">
        <v>596</v>
      </c>
      <c r="W115" s="0" t="s">
        <v>46</v>
      </c>
      <c r="X115" s="0" t="s">
        <v>46</v>
      </c>
      <c r="Y115" s="0" t="s">
        <v>46</v>
      </c>
      <c r="Z115" s="0" t="s">
        <v>102</v>
      </c>
      <c r="AA115" s="0" t="s">
        <v>171</v>
      </c>
      <c r="AB115" s="0" t="s">
        <v>46</v>
      </c>
      <c r="AC115" s="0" t="s">
        <v>51</v>
      </c>
      <c r="AD115" s="0" t="s">
        <v>689</v>
      </c>
      <c r="AE115" s="0" t="s">
        <v>690</v>
      </c>
      <c r="AF115" s="0" t="s">
        <v>691</v>
      </c>
      <c r="AG115" s="0" t="s">
        <v>692</v>
      </c>
      <c r="AH115" s="0" t="s">
        <v>46</v>
      </c>
      <c r="AI115" s="0" t="s">
        <v>46</v>
      </c>
      <c r="AJ115" s="0" t="s">
        <v>46</v>
      </c>
      <c r="AK115" s="0" t="s">
        <v>46</v>
      </c>
      <c r="AL115" s="0" t="s">
        <v>46</v>
      </c>
    </row>
    <row r="116" customFormat="false" ht="15" hidden="false" customHeight="false" outlineLevel="0" collapsed="false">
      <c r="B116" s="0" t="str">
        <f aca="false">HYPERLINK("https://genome.ucsc.edu/cgi-bin/hgTracks?db=hg19&amp;position=chr10%3A126691605%2D126691605", "chr10:126691605")</f>
        <v>chr10:126691605</v>
      </c>
      <c r="C116" s="0" t="s">
        <v>199</v>
      </c>
      <c r="D116" s="0" t="n">
        <v>126691605</v>
      </c>
      <c r="E116" s="0" t="n">
        <v>126691605</v>
      </c>
      <c r="F116" s="0" t="s">
        <v>39</v>
      </c>
      <c r="G116" s="0" t="s">
        <v>57</v>
      </c>
      <c r="H116" s="0" t="s">
        <v>790</v>
      </c>
      <c r="I116" s="0" t="s">
        <v>83</v>
      </c>
      <c r="J116" s="0" t="s">
        <v>791</v>
      </c>
      <c r="K116" s="0" t="s">
        <v>46</v>
      </c>
      <c r="L116" s="0" t="str">
        <f aca="false">HYPERLINK("https://www.ncbi.nlm.nih.gov/snp/rs201760950", "rs201760950")</f>
        <v>rs201760950</v>
      </c>
      <c r="M116" s="0" t="str">
        <f aca="false">HYPERLINK("https://www.genecards.org/Search/Keyword?queryString=%5Baliases%5D(%20CTBP2%20)&amp;keywords=CTBP2", "CTBP2")</f>
        <v>CTBP2</v>
      </c>
      <c r="N116" s="0" t="s">
        <v>98</v>
      </c>
      <c r="O116" s="0" t="s">
        <v>99</v>
      </c>
      <c r="P116" s="0" t="s">
        <v>792</v>
      </c>
      <c r="Q116" s="0" t="n">
        <v>6.482E-005</v>
      </c>
      <c r="R116" s="0" t="n">
        <v>9.02E-005</v>
      </c>
      <c r="S116" s="0" t="n">
        <v>7.343E-005</v>
      </c>
      <c r="T116" s="0" t="n">
        <v>-1</v>
      </c>
      <c r="U116" s="0" t="n">
        <v>-1</v>
      </c>
      <c r="V116" s="0" t="s">
        <v>767</v>
      </c>
      <c r="W116" s="0" t="s">
        <v>46</v>
      </c>
      <c r="X116" s="0" t="s">
        <v>46</v>
      </c>
      <c r="Y116" s="0" t="s">
        <v>46</v>
      </c>
      <c r="Z116" s="0" t="s">
        <v>159</v>
      </c>
      <c r="AA116" s="0" t="s">
        <v>171</v>
      </c>
      <c r="AB116" s="0" t="s">
        <v>46</v>
      </c>
      <c r="AC116" s="0" t="s">
        <v>51</v>
      </c>
      <c r="AD116" s="0" t="s">
        <v>689</v>
      </c>
      <c r="AE116" s="0" t="s">
        <v>690</v>
      </c>
      <c r="AF116" s="0" t="s">
        <v>691</v>
      </c>
      <c r="AG116" s="0" t="s">
        <v>692</v>
      </c>
      <c r="AH116" s="0" t="s">
        <v>46</v>
      </c>
      <c r="AI116" s="0" t="s">
        <v>46</v>
      </c>
      <c r="AJ116" s="0" t="s">
        <v>46</v>
      </c>
      <c r="AK116" s="0" t="s">
        <v>46</v>
      </c>
      <c r="AL116" s="0" t="s">
        <v>46</v>
      </c>
    </row>
    <row r="117" customFormat="false" ht="15" hidden="false" customHeight="false" outlineLevel="0" collapsed="false">
      <c r="B117" s="0" t="str">
        <f aca="false">HYPERLINK("https://genome.ucsc.edu/cgi-bin/hgTracks?db=hg19&amp;position=chr10%3A126691631%2D126691631", "chr10:126691631")</f>
        <v>chr10:126691631</v>
      </c>
      <c r="C117" s="0" t="s">
        <v>199</v>
      </c>
      <c r="D117" s="0" t="n">
        <v>126691631</v>
      </c>
      <c r="E117" s="0" t="n">
        <v>126691631</v>
      </c>
      <c r="F117" s="0" t="s">
        <v>40</v>
      </c>
      <c r="G117" s="0" t="s">
        <v>57</v>
      </c>
      <c r="H117" s="0" t="s">
        <v>793</v>
      </c>
      <c r="I117" s="0" t="s">
        <v>520</v>
      </c>
      <c r="J117" s="0" t="s">
        <v>794</v>
      </c>
      <c r="K117" s="0" t="s">
        <v>46</v>
      </c>
      <c r="L117" s="0" t="str">
        <f aca="false">HYPERLINK("https://www.ncbi.nlm.nih.gov/snp/rs3198936", "rs3198936")</f>
        <v>rs3198936</v>
      </c>
      <c r="M117" s="0" t="str">
        <f aca="false">HYPERLINK("https://www.genecards.org/Search/Keyword?queryString=%5Baliases%5D(%20CTBP2%20)&amp;keywords=CTBP2", "CTBP2")</f>
        <v>CTBP2</v>
      </c>
      <c r="N117" s="0" t="s">
        <v>98</v>
      </c>
      <c r="O117" s="0" t="s">
        <v>99</v>
      </c>
      <c r="P117" s="0" t="s">
        <v>795</v>
      </c>
      <c r="Q117" s="0" t="n">
        <v>3.23E-005</v>
      </c>
      <c r="R117" s="0" t="n">
        <v>-1</v>
      </c>
      <c r="S117" s="0" t="n">
        <v>-1</v>
      </c>
      <c r="T117" s="0" t="n">
        <v>-1</v>
      </c>
      <c r="U117" s="0" t="n">
        <v>-1</v>
      </c>
      <c r="V117" s="0" t="s">
        <v>767</v>
      </c>
      <c r="W117" s="0" t="s">
        <v>46</v>
      </c>
      <c r="X117" s="0" t="s">
        <v>46</v>
      </c>
      <c r="Y117" s="0" t="s">
        <v>46</v>
      </c>
      <c r="Z117" s="0" t="s">
        <v>231</v>
      </c>
      <c r="AA117" s="0" t="s">
        <v>171</v>
      </c>
      <c r="AB117" s="0" t="s">
        <v>46</v>
      </c>
      <c r="AC117" s="0" t="s">
        <v>51</v>
      </c>
      <c r="AD117" s="0" t="s">
        <v>689</v>
      </c>
      <c r="AE117" s="0" t="s">
        <v>690</v>
      </c>
      <c r="AF117" s="0" t="s">
        <v>691</v>
      </c>
      <c r="AG117" s="0" t="s">
        <v>692</v>
      </c>
      <c r="AH117" s="0" t="s">
        <v>46</v>
      </c>
      <c r="AI117" s="0" t="s">
        <v>46</v>
      </c>
      <c r="AJ117" s="0" t="s">
        <v>46</v>
      </c>
      <c r="AK117" s="0" t="s">
        <v>46</v>
      </c>
      <c r="AL117" s="0" t="s">
        <v>46</v>
      </c>
    </row>
    <row r="118" customFormat="false" ht="15" hidden="false" customHeight="false" outlineLevel="0" collapsed="false">
      <c r="B118" s="0" t="str">
        <f aca="false">HYPERLINK("https://genome.ucsc.edu/cgi-bin/hgTracks?db=hg19&amp;position=chr10%3A126691634%2D126691634", "chr10:126691634")</f>
        <v>chr10:126691634</v>
      </c>
      <c r="C118" s="0" t="s">
        <v>199</v>
      </c>
      <c r="D118" s="0" t="n">
        <v>126691634</v>
      </c>
      <c r="E118" s="0" t="n">
        <v>126691634</v>
      </c>
      <c r="F118" s="0" t="s">
        <v>40</v>
      </c>
      <c r="G118" s="0" t="s">
        <v>57</v>
      </c>
      <c r="H118" s="0" t="s">
        <v>796</v>
      </c>
      <c r="I118" s="0" t="s">
        <v>486</v>
      </c>
      <c r="J118" s="0" t="s">
        <v>797</v>
      </c>
      <c r="K118" s="0" t="s">
        <v>46</v>
      </c>
      <c r="L118" s="0" t="str">
        <f aca="false">HYPERLINK("https://www.ncbi.nlm.nih.gov/snp/rs75794788", "rs75794788")</f>
        <v>rs75794788</v>
      </c>
      <c r="M118" s="0" t="str">
        <f aca="false">HYPERLINK("https://www.genecards.org/Search/Keyword?queryString=%5Baliases%5D(%20CTBP2%20)&amp;keywords=CTBP2", "CTBP2")</f>
        <v>CTBP2</v>
      </c>
      <c r="N118" s="0" t="s">
        <v>98</v>
      </c>
      <c r="O118" s="0" t="s">
        <v>99</v>
      </c>
      <c r="P118" s="0" t="s">
        <v>798</v>
      </c>
      <c r="Q118" s="0" t="n">
        <v>3.23E-005</v>
      </c>
      <c r="R118" s="0" t="n">
        <v>-1</v>
      </c>
      <c r="S118" s="0" t="n">
        <v>-1</v>
      </c>
      <c r="T118" s="0" t="n">
        <v>-1</v>
      </c>
      <c r="U118" s="0" t="n">
        <v>-1</v>
      </c>
      <c r="V118" s="0" t="s">
        <v>688</v>
      </c>
      <c r="W118" s="0" t="s">
        <v>46</v>
      </c>
      <c r="X118" s="0" t="s">
        <v>46</v>
      </c>
      <c r="Y118" s="0" t="s">
        <v>46</v>
      </c>
      <c r="Z118" s="0" t="s">
        <v>102</v>
      </c>
      <c r="AA118" s="0" t="s">
        <v>171</v>
      </c>
      <c r="AB118" s="0" t="s">
        <v>46</v>
      </c>
      <c r="AC118" s="0" t="s">
        <v>51</v>
      </c>
      <c r="AD118" s="0" t="s">
        <v>689</v>
      </c>
      <c r="AE118" s="0" t="s">
        <v>690</v>
      </c>
      <c r="AF118" s="0" t="s">
        <v>691</v>
      </c>
      <c r="AG118" s="0" t="s">
        <v>692</v>
      </c>
      <c r="AH118" s="0" t="s">
        <v>46</v>
      </c>
      <c r="AI118" s="0" t="s">
        <v>46</v>
      </c>
      <c r="AJ118" s="0" t="s">
        <v>46</v>
      </c>
      <c r="AK118" s="0" t="s">
        <v>46</v>
      </c>
      <c r="AL118" s="0" t="s">
        <v>46</v>
      </c>
    </row>
    <row r="119" customFormat="false" ht="15" hidden="false" customHeight="false" outlineLevel="0" collapsed="false">
      <c r="B119" s="0" t="str">
        <f aca="false">HYPERLINK("https://genome.ucsc.edu/cgi-bin/hgTracks?db=hg19&amp;position=chr10%3A126691660%2D126691660", "chr10:126691660")</f>
        <v>chr10:126691660</v>
      </c>
      <c r="C119" s="0" t="s">
        <v>199</v>
      </c>
      <c r="D119" s="0" t="n">
        <v>126691660</v>
      </c>
      <c r="E119" s="0" t="n">
        <v>126691660</v>
      </c>
      <c r="F119" s="0" t="s">
        <v>69</v>
      </c>
      <c r="G119" s="0" t="s">
        <v>57</v>
      </c>
      <c r="H119" s="0" t="s">
        <v>799</v>
      </c>
      <c r="I119" s="0" t="s">
        <v>83</v>
      </c>
      <c r="J119" s="0" t="s">
        <v>800</v>
      </c>
      <c r="K119" s="0" t="s">
        <v>46</v>
      </c>
      <c r="L119" s="0" t="str">
        <f aca="false">HYPERLINK("https://www.ncbi.nlm.nih.gov/snp/rs3198935", "rs3198935")</f>
        <v>rs3198935</v>
      </c>
      <c r="M119" s="0" t="str">
        <f aca="false">HYPERLINK("https://www.genecards.org/Search/Keyword?queryString=%5Baliases%5D(%20CTBP2%20)&amp;keywords=CTBP2", "CTBP2")</f>
        <v>CTBP2</v>
      </c>
      <c r="N119" s="0" t="s">
        <v>98</v>
      </c>
      <c r="O119" s="0" t="s">
        <v>99</v>
      </c>
      <c r="P119" s="0" t="s">
        <v>801</v>
      </c>
      <c r="Q119" s="0" t="n">
        <v>2.59E-005</v>
      </c>
      <c r="R119" s="0" t="n">
        <v>-1</v>
      </c>
      <c r="S119" s="0" t="n">
        <v>-1</v>
      </c>
      <c r="T119" s="0" t="n">
        <v>-1</v>
      </c>
      <c r="U119" s="0" t="n">
        <v>-1</v>
      </c>
      <c r="V119" s="0" t="s">
        <v>596</v>
      </c>
      <c r="W119" s="0" t="s">
        <v>46</v>
      </c>
      <c r="X119" s="0" t="s">
        <v>46</v>
      </c>
      <c r="Y119" s="0" t="s">
        <v>46</v>
      </c>
      <c r="Z119" s="0" t="s">
        <v>231</v>
      </c>
      <c r="AA119" s="0" t="s">
        <v>171</v>
      </c>
      <c r="AB119" s="0" t="s">
        <v>46</v>
      </c>
      <c r="AC119" s="0" t="s">
        <v>51</v>
      </c>
      <c r="AD119" s="0" t="s">
        <v>689</v>
      </c>
      <c r="AE119" s="0" t="s">
        <v>690</v>
      </c>
      <c r="AF119" s="0" t="s">
        <v>691</v>
      </c>
      <c r="AG119" s="0" t="s">
        <v>692</v>
      </c>
      <c r="AH119" s="0" t="s">
        <v>46</v>
      </c>
      <c r="AI119" s="0" t="s">
        <v>802</v>
      </c>
      <c r="AJ119" s="0" t="s">
        <v>46</v>
      </c>
      <c r="AK119" s="0" t="s">
        <v>46</v>
      </c>
      <c r="AL119" s="0" t="s">
        <v>46</v>
      </c>
    </row>
    <row r="120" customFormat="false" ht="15" hidden="false" customHeight="false" outlineLevel="0" collapsed="false">
      <c r="B120" s="0" t="str">
        <f aca="false">HYPERLINK("https://genome.ucsc.edu/cgi-bin/hgTracks?db=hg19&amp;position=chr10%3A126691941%2D126691941", "chr10:126691941")</f>
        <v>chr10:126691941</v>
      </c>
      <c r="C120" s="0" t="s">
        <v>199</v>
      </c>
      <c r="D120" s="0" t="n">
        <v>126691941</v>
      </c>
      <c r="E120" s="0" t="n">
        <v>126691941</v>
      </c>
      <c r="F120" s="0" t="s">
        <v>39</v>
      </c>
      <c r="G120" s="0" t="s">
        <v>40</v>
      </c>
      <c r="H120" s="0" t="s">
        <v>803</v>
      </c>
      <c r="I120" s="0" t="s">
        <v>237</v>
      </c>
      <c r="J120" s="0" t="s">
        <v>804</v>
      </c>
      <c r="K120" s="0" t="s">
        <v>46</v>
      </c>
      <c r="L120" s="0" t="str">
        <f aca="false">HYPERLINK("https://www.ncbi.nlm.nih.gov/snp/rs908258633", "rs908258633")</f>
        <v>rs908258633</v>
      </c>
      <c r="M120" s="0" t="str">
        <f aca="false">HYPERLINK("https://www.genecards.org/Search/Keyword?queryString=%5Baliases%5D(%20CTBP2%20)&amp;keywords=CTBP2", "CTBP2")</f>
        <v>CTBP2</v>
      </c>
      <c r="N120" s="0" t="s">
        <v>98</v>
      </c>
      <c r="O120" s="0" t="s">
        <v>99</v>
      </c>
      <c r="P120" s="0" t="s">
        <v>805</v>
      </c>
      <c r="Q120" s="0" t="n">
        <v>-1</v>
      </c>
      <c r="R120" s="0" t="n">
        <v>-1</v>
      </c>
      <c r="S120" s="0" t="n">
        <v>-1</v>
      </c>
      <c r="T120" s="0" t="n">
        <v>-1</v>
      </c>
      <c r="U120" s="0" t="n">
        <v>-1</v>
      </c>
      <c r="V120" s="0" t="s">
        <v>596</v>
      </c>
      <c r="W120" s="0" t="s">
        <v>46</v>
      </c>
      <c r="X120" s="0" t="s">
        <v>46</v>
      </c>
      <c r="Y120" s="0" t="s">
        <v>46</v>
      </c>
      <c r="Z120" s="0" t="s">
        <v>183</v>
      </c>
      <c r="AA120" s="0" t="s">
        <v>171</v>
      </c>
      <c r="AB120" s="0" t="s">
        <v>46</v>
      </c>
      <c r="AC120" s="0" t="s">
        <v>51</v>
      </c>
      <c r="AD120" s="0" t="s">
        <v>689</v>
      </c>
      <c r="AE120" s="0" t="s">
        <v>690</v>
      </c>
      <c r="AF120" s="0" t="s">
        <v>691</v>
      </c>
      <c r="AG120" s="0" t="s">
        <v>692</v>
      </c>
      <c r="AH120" s="0" t="s">
        <v>46</v>
      </c>
      <c r="AI120" s="0" t="s">
        <v>46</v>
      </c>
      <c r="AJ120" s="0" t="s">
        <v>46</v>
      </c>
      <c r="AK120" s="0" t="s">
        <v>46</v>
      </c>
      <c r="AL120" s="0" t="s">
        <v>46</v>
      </c>
    </row>
    <row r="121" customFormat="false" ht="15" hidden="false" customHeight="false" outlineLevel="0" collapsed="false">
      <c r="B121" s="0" t="str">
        <f aca="false">HYPERLINK("https://genome.ucsc.edu/cgi-bin/hgTracks?db=hg19&amp;position=chr10%3A126691979%2D126691979", "chr10:126691979")</f>
        <v>chr10:126691979</v>
      </c>
      <c r="C121" s="0" t="s">
        <v>199</v>
      </c>
      <c r="D121" s="0" t="n">
        <v>126691979</v>
      </c>
      <c r="E121" s="0" t="n">
        <v>126691979</v>
      </c>
      <c r="F121" s="0" t="s">
        <v>39</v>
      </c>
      <c r="G121" s="0" t="s">
        <v>69</v>
      </c>
      <c r="H121" s="0" t="s">
        <v>806</v>
      </c>
      <c r="I121" s="0" t="s">
        <v>237</v>
      </c>
      <c r="J121" s="0" t="s">
        <v>807</v>
      </c>
      <c r="K121" s="0" t="s">
        <v>46</v>
      </c>
      <c r="L121" s="0" t="str">
        <f aca="false">HYPERLINK("https://www.ncbi.nlm.nih.gov/snp/rs74705267", "rs74705267")</f>
        <v>rs74705267</v>
      </c>
      <c r="M121" s="0" t="str">
        <f aca="false">HYPERLINK("https://www.genecards.org/Search/Keyword?queryString=%5Baliases%5D(%20CTBP2%20)&amp;keywords=CTBP2", "CTBP2")</f>
        <v>CTBP2</v>
      </c>
      <c r="N121" s="0" t="s">
        <v>98</v>
      </c>
      <c r="O121" s="0" t="s">
        <v>99</v>
      </c>
      <c r="P121" s="0" t="s">
        <v>808</v>
      </c>
      <c r="Q121" s="0" t="n">
        <v>3.23E-005</v>
      </c>
      <c r="R121" s="0" t="n">
        <v>-1</v>
      </c>
      <c r="S121" s="0" t="n">
        <v>-1</v>
      </c>
      <c r="T121" s="0" t="n">
        <v>-1</v>
      </c>
      <c r="U121" s="0" t="n">
        <v>-1</v>
      </c>
      <c r="V121" s="0" t="s">
        <v>596</v>
      </c>
      <c r="W121" s="0" t="s">
        <v>46</v>
      </c>
      <c r="X121" s="0" t="s">
        <v>46</v>
      </c>
      <c r="Y121" s="0" t="s">
        <v>46</v>
      </c>
      <c r="Z121" s="0" t="s">
        <v>231</v>
      </c>
      <c r="AA121" s="0" t="s">
        <v>171</v>
      </c>
      <c r="AB121" s="0" t="s">
        <v>46</v>
      </c>
      <c r="AC121" s="0" t="s">
        <v>51</v>
      </c>
      <c r="AD121" s="0" t="s">
        <v>689</v>
      </c>
      <c r="AE121" s="0" t="s">
        <v>690</v>
      </c>
      <c r="AF121" s="0" t="s">
        <v>691</v>
      </c>
      <c r="AG121" s="0" t="s">
        <v>692</v>
      </c>
      <c r="AH121" s="0" t="s">
        <v>46</v>
      </c>
      <c r="AI121" s="0" t="s">
        <v>46</v>
      </c>
      <c r="AJ121" s="0" t="s">
        <v>46</v>
      </c>
      <c r="AK121" s="0" t="s">
        <v>46</v>
      </c>
      <c r="AL121" s="0" t="s">
        <v>46</v>
      </c>
    </row>
    <row r="122" customFormat="false" ht="15" hidden="false" customHeight="false" outlineLevel="0" collapsed="false">
      <c r="B122" s="0" t="str">
        <f aca="false">HYPERLINK("https://genome.ucsc.edu/cgi-bin/hgTracks?db=hg19&amp;position=chr10%3A126692017%2D126692017", "chr10:126692017")</f>
        <v>chr10:126692017</v>
      </c>
      <c r="C122" s="0" t="s">
        <v>199</v>
      </c>
      <c r="D122" s="0" t="n">
        <v>126692017</v>
      </c>
      <c r="E122" s="0" t="n">
        <v>126692017</v>
      </c>
      <c r="F122" s="0" t="s">
        <v>69</v>
      </c>
      <c r="G122" s="0" t="s">
        <v>39</v>
      </c>
      <c r="H122" s="0" t="s">
        <v>809</v>
      </c>
      <c r="I122" s="0" t="s">
        <v>464</v>
      </c>
      <c r="J122" s="0" t="s">
        <v>810</v>
      </c>
      <c r="K122" s="0" t="s">
        <v>46</v>
      </c>
      <c r="L122" s="0" t="str">
        <f aca="false">HYPERLINK("https://www.ncbi.nlm.nih.gov/snp/rs3198920", "rs3198920")</f>
        <v>rs3198920</v>
      </c>
      <c r="M122" s="0" t="str">
        <f aca="false">HYPERLINK("https://www.genecards.org/Search/Keyword?queryString=%5Baliases%5D(%20CTBP2%20)&amp;keywords=CTBP2", "CTBP2")</f>
        <v>CTBP2</v>
      </c>
      <c r="N122" s="0" t="s">
        <v>98</v>
      </c>
      <c r="O122" s="0" t="s">
        <v>99</v>
      </c>
      <c r="P122" s="0" t="s">
        <v>811</v>
      </c>
      <c r="Q122" s="0" t="n">
        <v>6.5E-006</v>
      </c>
      <c r="R122" s="0" t="n">
        <v>-1</v>
      </c>
      <c r="S122" s="0" t="n">
        <v>-1</v>
      </c>
      <c r="T122" s="0" t="n">
        <v>-1</v>
      </c>
      <c r="U122" s="0" t="n">
        <v>-1</v>
      </c>
      <c r="V122" s="0" t="s">
        <v>767</v>
      </c>
      <c r="W122" s="0" t="s">
        <v>46</v>
      </c>
      <c r="X122" s="0" t="s">
        <v>46</v>
      </c>
      <c r="Y122" s="0" t="s">
        <v>46</v>
      </c>
      <c r="Z122" s="0" t="s">
        <v>159</v>
      </c>
      <c r="AA122" s="0" t="s">
        <v>171</v>
      </c>
      <c r="AB122" s="0" t="s">
        <v>46</v>
      </c>
      <c r="AC122" s="0" t="s">
        <v>51</v>
      </c>
      <c r="AD122" s="0" t="s">
        <v>689</v>
      </c>
      <c r="AE122" s="0" t="s">
        <v>690</v>
      </c>
      <c r="AF122" s="0" t="s">
        <v>691</v>
      </c>
      <c r="AG122" s="0" t="s">
        <v>692</v>
      </c>
      <c r="AH122" s="0" t="s">
        <v>46</v>
      </c>
      <c r="AI122" s="0" t="s">
        <v>46</v>
      </c>
      <c r="AJ122" s="0" t="s">
        <v>46</v>
      </c>
      <c r="AK122" s="0" t="s">
        <v>46</v>
      </c>
      <c r="AL122" s="0" t="s">
        <v>46</v>
      </c>
    </row>
    <row r="123" customFormat="false" ht="15" hidden="false" customHeight="false" outlineLevel="0" collapsed="false">
      <c r="B123" s="0" t="str">
        <f aca="false">HYPERLINK("https://genome.ucsc.edu/cgi-bin/hgTracks?db=hg19&amp;position=chr10%3A126692019%2D126692019", "chr10:126692019")</f>
        <v>chr10:126692019</v>
      </c>
      <c r="C123" s="0" t="s">
        <v>199</v>
      </c>
      <c r="D123" s="0" t="n">
        <v>126692019</v>
      </c>
      <c r="E123" s="0" t="n">
        <v>126692019</v>
      </c>
      <c r="F123" s="0" t="s">
        <v>69</v>
      </c>
      <c r="G123" s="0" t="s">
        <v>57</v>
      </c>
      <c r="H123" s="0" t="s">
        <v>812</v>
      </c>
      <c r="I123" s="0" t="s">
        <v>689</v>
      </c>
      <c r="J123" s="0" t="s">
        <v>813</v>
      </c>
      <c r="K123" s="0" t="s">
        <v>46</v>
      </c>
      <c r="L123" s="0" t="str">
        <f aca="false">HYPERLINK("https://www.ncbi.nlm.nih.gov/snp/rs796256730", "rs796256730")</f>
        <v>rs796256730</v>
      </c>
      <c r="M123" s="0" t="str">
        <f aca="false">HYPERLINK("https://www.genecards.org/Search/Keyword?queryString=%5Baliases%5D(%20CTBP2%20)&amp;keywords=CTBP2", "CTBP2")</f>
        <v>CTBP2</v>
      </c>
      <c r="N123" s="0" t="s">
        <v>98</v>
      </c>
      <c r="O123" s="0" t="s">
        <v>99</v>
      </c>
      <c r="P123" s="0" t="s">
        <v>814</v>
      </c>
      <c r="Q123" s="0" t="n">
        <v>-1</v>
      </c>
      <c r="R123" s="0" t="n">
        <v>-1</v>
      </c>
      <c r="S123" s="0" t="n">
        <v>-1</v>
      </c>
      <c r="T123" s="0" t="n">
        <v>-1</v>
      </c>
      <c r="U123" s="0" t="n">
        <v>-1</v>
      </c>
      <c r="V123" s="0" t="s">
        <v>767</v>
      </c>
      <c r="W123" s="0" t="s">
        <v>46</v>
      </c>
      <c r="X123" s="0" t="s">
        <v>46</v>
      </c>
      <c r="Y123" s="0" t="s">
        <v>46</v>
      </c>
      <c r="Z123" s="0" t="s">
        <v>183</v>
      </c>
      <c r="AA123" s="0" t="s">
        <v>171</v>
      </c>
      <c r="AB123" s="0" t="s">
        <v>46</v>
      </c>
      <c r="AC123" s="0" t="s">
        <v>51</v>
      </c>
      <c r="AD123" s="0" t="s">
        <v>689</v>
      </c>
      <c r="AE123" s="0" t="s">
        <v>690</v>
      </c>
      <c r="AF123" s="0" t="s">
        <v>691</v>
      </c>
      <c r="AG123" s="0" t="s">
        <v>692</v>
      </c>
      <c r="AH123" s="0" t="s">
        <v>46</v>
      </c>
      <c r="AI123" s="0" t="s">
        <v>46</v>
      </c>
      <c r="AJ123" s="0" t="s">
        <v>46</v>
      </c>
      <c r="AK123" s="0" t="s">
        <v>46</v>
      </c>
      <c r="AL123" s="0" t="s">
        <v>46</v>
      </c>
    </row>
    <row r="124" customFormat="false" ht="15" hidden="false" customHeight="false" outlineLevel="0" collapsed="false">
      <c r="B124" s="0" t="str">
        <f aca="false">HYPERLINK("https://genome.ucsc.edu/cgi-bin/hgTracks?db=hg19&amp;position=chr10%3A126692029%2D126692029", "chr10:126692029")</f>
        <v>chr10:126692029</v>
      </c>
      <c r="C124" s="0" t="s">
        <v>199</v>
      </c>
      <c r="D124" s="0" t="n">
        <v>126692029</v>
      </c>
      <c r="E124" s="0" t="n">
        <v>126692029</v>
      </c>
      <c r="F124" s="0" t="s">
        <v>69</v>
      </c>
      <c r="G124" s="0" t="s">
        <v>40</v>
      </c>
      <c r="H124" s="0" t="s">
        <v>815</v>
      </c>
      <c r="I124" s="0" t="s">
        <v>427</v>
      </c>
      <c r="J124" s="0" t="s">
        <v>816</v>
      </c>
      <c r="K124" s="0" t="s">
        <v>46</v>
      </c>
      <c r="L124" s="0" t="str">
        <f aca="false">HYPERLINK("https://www.ncbi.nlm.nih.gov/snp/rs796388243", "rs796388243")</f>
        <v>rs796388243</v>
      </c>
      <c r="M124" s="0" t="str">
        <f aca="false">HYPERLINK("https://www.genecards.org/Search/Keyword?queryString=%5Baliases%5D(%20CTBP2%20)&amp;keywords=CTBP2", "CTBP2")</f>
        <v>CTBP2</v>
      </c>
      <c r="N124" s="0" t="s">
        <v>98</v>
      </c>
      <c r="O124" s="0" t="s">
        <v>99</v>
      </c>
      <c r="P124" s="0" t="s">
        <v>817</v>
      </c>
      <c r="Q124" s="0" t="n">
        <v>6.5E-006</v>
      </c>
      <c r="R124" s="0" t="n">
        <v>-1</v>
      </c>
      <c r="S124" s="0" t="n">
        <v>-1</v>
      </c>
      <c r="T124" s="0" t="n">
        <v>-1</v>
      </c>
      <c r="U124" s="0" t="n">
        <v>-1</v>
      </c>
      <c r="V124" s="0" t="s">
        <v>697</v>
      </c>
      <c r="W124" s="0" t="s">
        <v>46</v>
      </c>
      <c r="X124" s="0" t="s">
        <v>46</v>
      </c>
      <c r="Y124" s="0" t="s">
        <v>46</v>
      </c>
      <c r="Z124" s="0" t="s">
        <v>183</v>
      </c>
      <c r="AA124" s="0" t="s">
        <v>171</v>
      </c>
      <c r="AB124" s="0" t="s">
        <v>46</v>
      </c>
      <c r="AC124" s="0" t="s">
        <v>51</v>
      </c>
      <c r="AD124" s="0" t="s">
        <v>689</v>
      </c>
      <c r="AE124" s="0" t="s">
        <v>690</v>
      </c>
      <c r="AF124" s="0" t="s">
        <v>691</v>
      </c>
      <c r="AG124" s="0" t="s">
        <v>692</v>
      </c>
      <c r="AH124" s="0" t="s">
        <v>46</v>
      </c>
      <c r="AI124" s="0" t="s">
        <v>46</v>
      </c>
      <c r="AJ124" s="0" t="s">
        <v>46</v>
      </c>
      <c r="AK124" s="0" t="s">
        <v>46</v>
      </c>
      <c r="AL124" s="0" t="s">
        <v>46</v>
      </c>
    </row>
    <row r="125" customFormat="false" ht="15" hidden="false" customHeight="false" outlineLevel="0" collapsed="false">
      <c r="B125" s="0" t="str">
        <f aca="false">HYPERLINK("https://genome.ucsc.edu/cgi-bin/hgTracks?db=hg19&amp;position=chr10%3A126692035%2D126692035", "chr10:126692035")</f>
        <v>chr10:126692035</v>
      </c>
      <c r="C125" s="0" t="s">
        <v>199</v>
      </c>
      <c r="D125" s="0" t="n">
        <v>126692035</v>
      </c>
      <c r="E125" s="0" t="n">
        <v>126692035</v>
      </c>
      <c r="F125" s="0" t="s">
        <v>69</v>
      </c>
      <c r="G125" s="0" t="s">
        <v>40</v>
      </c>
      <c r="H125" s="0" t="s">
        <v>818</v>
      </c>
      <c r="I125" s="0" t="s">
        <v>631</v>
      </c>
      <c r="J125" s="0" t="s">
        <v>819</v>
      </c>
      <c r="K125" s="0" t="s">
        <v>46</v>
      </c>
      <c r="L125" s="0" t="s">
        <v>46</v>
      </c>
      <c r="M125" s="0" t="str">
        <f aca="false">HYPERLINK("https://www.genecards.org/Search/Keyword?queryString=%5Baliases%5D(%20CTBP2%20)&amp;keywords=CTBP2", "CTBP2")</f>
        <v>CTBP2</v>
      </c>
      <c r="N125" s="0" t="s">
        <v>98</v>
      </c>
      <c r="O125" s="0" t="s">
        <v>99</v>
      </c>
      <c r="P125" s="0" t="s">
        <v>820</v>
      </c>
      <c r="Q125" s="0" t="n">
        <v>-1</v>
      </c>
      <c r="R125" s="0" t="n">
        <v>-1</v>
      </c>
      <c r="S125" s="0" t="n">
        <v>-1</v>
      </c>
      <c r="T125" s="0" t="n">
        <v>-1</v>
      </c>
      <c r="U125" s="0" t="n">
        <v>-1</v>
      </c>
      <c r="V125" s="0" t="s">
        <v>697</v>
      </c>
      <c r="W125" s="0" t="s">
        <v>46</v>
      </c>
      <c r="X125" s="0" t="s">
        <v>46</v>
      </c>
      <c r="Y125" s="0" t="s">
        <v>46</v>
      </c>
      <c r="Z125" s="0" t="s">
        <v>183</v>
      </c>
      <c r="AA125" s="0" t="s">
        <v>171</v>
      </c>
      <c r="AB125" s="0" t="s">
        <v>46</v>
      </c>
      <c r="AC125" s="0" t="s">
        <v>51</v>
      </c>
      <c r="AD125" s="0" t="s">
        <v>689</v>
      </c>
      <c r="AE125" s="0" t="s">
        <v>690</v>
      </c>
      <c r="AF125" s="0" t="s">
        <v>691</v>
      </c>
      <c r="AG125" s="0" t="s">
        <v>692</v>
      </c>
      <c r="AH125" s="0" t="s">
        <v>46</v>
      </c>
      <c r="AI125" s="0" t="s">
        <v>46</v>
      </c>
      <c r="AJ125" s="0" t="s">
        <v>46</v>
      </c>
      <c r="AK125" s="0" t="s">
        <v>46</v>
      </c>
      <c r="AL125" s="0" t="s">
        <v>46</v>
      </c>
    </row>
    <row r="126" customFormat="false" ht="15" hidden="false" customHeight="false" outlineLevel="0" collapsed="false">
      <c r="B126" s="0" t="str">
        <f aca="false">HYPERLINK("https://genome.ucsc.edu/cgi-bin/hgTracks?db=hg19&amp;position=chr10%3A126692037%2D126692037", "chr10:126692037")</f>
        <v>chr10:126692037</v>
      </c>
      <c r="C126" s="0" t="s">
        <v>199</v>
      </c>
      <c r="D126" s="0" t="n">
        <v>126692037</v>
      </c>
      <c r="E126" s="0" t="n">
        <v>126692037</v>
      </c>
      <c r="F126" s="0" t="s">
        <v>39</v>
      </c>
      <c r="G126" s="0" t="s">
        <v>57</v>
      </c>
      <c r="H126" s="0" t="s">
        <v>818</v>
      </c>
      <c r="I126" s="0" t="s">
        <v>631</v>
      </c>
      <c r="J126" s="0" t="s">
        <v>819</v>
      </c>
      <c r="K126" s="0" t="s">
        <v>46</v>
      </c>
      <c r="L126" s="0" t="str">
        <f aca="false">HYPERLINK("https://www.ncbi.nlm.nih.gov/snp/rs368195398", "rs368195398")</f>
        <v>rs368195398</v>
      </c>
      <c r="M126" s="0" t="str">
        <f aca="false">HYPERLINK("https://www.genecards.org/Search/Keyword?queryString=%5Baliases%5D(%20CTBP2%20)&amp;keywords=CTBP2", "CTBP2")</f>
        <v>CTBP2</v>
      </c>
      <c r="N126" s="0" t="s">
        <v>98</v>
      </c>
      <c r="O126" s="0" t="s">
        <v>99</v>
      </c>
      <c r="P126" s="0" t="s">
        <v>821</v>
      </c>
      <c r="Q126" s="0" t="n">
        <v>7.9E-005</v>
      </c>
      <c r="R126" s="0" t="n">
        <v>-1</v>
      </c>
      <c r="S126" s="0" t="n">
        <v>-1</v>
      </c>
      <c r="T126" s="0" t="n">
        <v>-1</v>
      </c>
      <c r="U126" s="0" t="n">
        <v>-1</v>
      </c>
      <c r="V126" s="0" t="s">
        <v>182</v>
      </c>
      <c r="W126" s="0" t="s">
        <v>46</v>
      </c>
      <c r="X126" s="0" t="s">
        <v>46</v>
      </c>
      <c r="Y126" s="0" t="s">
        <v>46</v>
      </c>
      <c r="Z126" s="0" t="s">
        <v>102</v>
      </c>
      <c r="AA126" s="0" t="s">
        <v>171</v>
      </c>
      <c r="AB126" s="0" t="s">
        <v>46</v>
      </c>
      <c r="AC126" s="0" t="s">
        <v>51</v>
      </c>
      <c r="AD126" s="0" t="s">
        <v>689</v>
      </c>
      <c r="AE126" s="0" t="s">
        <v>690</v>
      </c>
      <c r="AF126" s="0" t="s">
        <v>691</v>
      </c>
      <c r="AG126" s="0" t="s">
        <v>692</v>
      </c>
      <c r="AH126" s="0" t="s">
        <v>46</v>
      </c>
      <c r="AI126" s="0" t="s">
        <v>46</v>
      </c>
      <c r="AJ126" s="0" t="s">
        <v>46</v>
      </c>
      <c r="AK126" s="0" t="s">
        <v>46</v>
      </c>
      <c r="AL126" s="0" t="s">
        <v>46</v>
      </c>
    </row>
    <row r="127" customFormat="false" ht="15" hidden="false" customHeight="false" outlineLevel="0" collapsed="false">
      <c r="B127" s="0" t="str">
        <f aca="false">HYPERLINK("https://genome.ucsc.edu/cgi-bin/hgTracks?db=hg19&amp;position=chr10%3A126692039%2D126692039", "chr10:126692039")</f>
        <v>chr10:126692039</v>
      </c>
      <c r="C127" s="0" t="s">
        <v>199</v>
      </c>
      <c r="D127" s="0" t="n">
        <v>126692039</v>
      </c>
      <c r="E127" s="0" t="n">
        <v>126692039</v>
      </c>
      <c r="F127" s="0" t="s">
        <v>69</v>
      </c>
      <c r="G127" s="0" t="s">
        <v>40</v>
      </c>
      <c r="H127" s="0" t="s">
        <v>818</v>
      </c>
      <c r="I127" s="0" t="s">
        <v>631</v>
      </c>
      <c r="J127" s="0" t="s">
        <v>819</v>
      </c>
      <c r="K127" s="0" t="s">
        <v>46</v>
      </c>
      <c r="L127" s="0" t="str">
        <f aca="false">HYPERLINK("https://www.ncbi.nlm.nih.gov/snp/rs797010536", "rs797010536")</f>
        <v>rs797010536</v>
      </c>
      <c r="M127" s="0" t="str">
        <f aca="false">HYPERLINK("https://www.genecards.org/Search/Keyword?queryString=%5Baliases%5D(%20CTBP2%20)&amp;keywords=CTBP2", "CTBP2")</f>
        <v>CTBP2</v>
      </c>
      <c r="N127" s="0" t="s">
        <v>98</v>
      </c>
      <c r="O127" s="0" t="s">
        <v>99</v>
      </c>
      <c r="P127" s="0" t="s">
        <v>822</v>
      </c>
      <c r="Q127" s="0" t="n">
        <v>-1</v>
      </c>
      <c r="R127" s="0" t="n">
        <v>-1</v>
      </c>
      <c r="S127" s="0" t="n">
        <v>-1</v>
      </c>
      <c r="T127" s="0" t="n">
        <v>-1</v>
      </c>
      <c r="U127" s="0" t="n">
        <v>-1</v>
      </c>
      <c r="V127" s="0" t="s">
        <v>596</v>
      </c>
      <c r="W127" s="0" t="s">
        <v>46</v>
      </c>
      <c r="X127" s="0" t="s">
        <v>46</v>
      </c>
      <c r="Y127" s="0" t="s">
        <v>46</v>
      </c>
      <c r="Z127" s="0" t="s">
        <v>231</v>
      </c>
      <c r="AA127" s="0" t="s">
        <v>171</v>
      </c>
      <c r="AB127" s="0" t="s">
        <v>46</v>
      </c>
      <c r="AC127" s="0" t="s">
        <v>51</v>
      </c>
      <c r="AD127" s="0" t="s">
        <v>689</v>
      </c>
      <c r="AE127" s="0" t="s">
        <v>690</v>
      </c>
      <c r="AF127" s="0" t="s">
        <v>691</v>
      </c>
      <c r="AG127" s="0" t="s">
        <v>692</v>
      </c>
      <c r="AH127" s="0" t="s">
        <v>46</v>
      </c>
      <c r="AI127" s="0" t="s">
        <v>46</v>
      </c>
      <c r="AJ127" s="0" t="s">
        <v>46</v>
      </c>
      <c r="AK127" s="0" t="s">
        <v>46</v>
      </c>
      <c r="AL127" s="0" t="s">
        <v>46</v>
      </c>
    </row>
    <row r="128" customFormat="false" ht="15" hidden="false" customHeight="false" outlineLevel="0" collapsed="false">
      <c r="B128" s="0" t="str">
        <f aca="false">HYPERLINK("https://genome.ucsc.edu/cgi-bin/hgTracks?db=hg19&amp;position=chr10%3A126727602%2D126727602", "chr10:126727602")</f>
        <v>chr10:126727602</v>
      </c>
      <c r="C128" s="0" t="s">
        <v>199</v>
      </c>
      <c r="D128" s="0" t="n">
        <v>126727602</v>
      </c>
      <c r="E128" s="0" t="n">
        <v>126727602</v>
      </c>
      <c r="F128" s="0" t="s">
        <v>40</v>
      </c>
      <c r="G128" s="0" t="s">
        <v>57</v>
      </c>
      <c r="H128" s="0" t="s">
        <v>823</v>
      </c>
      <c r="I128" s="0" t="s">
        <v>824</v>
      </c>
      <c r="J128" s="0" t="s">
        <v>825</v>
      </c>
      <c r="K128" s="0" t="s">
        <v>46</v>
      </c>
      <c r="L128" s="0" t="str">
        <f aca="false">HYPERLINK("https://www.ncbi.nlm.nih.gov/snp/rs76555439", "rs76555439")</f>
        <v>rs76555439</v>
      </c>
      <c r="M128" s="0" t="str">
        <f aca="false">HYPERLINK("https://www.genecards.org/Search/Keyword?queryString=%5Baliases%5D(%20CTBP2%20)&amp;keywords=CTBP2", "CTBP2")</f>
        <v>CTBP2</v>
      </c>
      <c r="N128" s="0" t="s">
        <v>98</v>
      </c>
      <c r="O128" s="0" t="s">
        <v>371</v>
      </c>
      <c r="P128" s="0" t="s">
        <v>826</v>
      </c>
      <c r="Q128" s="0" t="n">
        <v>2.59E-005</v>
      </c>
      <c r="R128" s="0" t="n">
        <v>-1</v>
      </c>
      <c r="S128" s="0" t="n">
        <v>-1</v>
      </c>
      <c r="T128" s="0" t="n">
        <v>-1</v>
      </c>
      <c r="U128" s="0" t="n">
        <v>-1</v>
      </c>
      <c r="V128" s="0" t="s">
        <v>827</v>
      </c>
      <c r="W128" s="0" t="s">
        <v>46</v>
      </c>
      <c r="X128" s="0" t="s">
        <v>46</v>
      </c>
      <c r="Y128" s="0" t="s">
        <v>46</v>
      </c>
      <c r="Z128" s="0" t="s">
        <v>102</v>
      </c>
      <c r="AA128" s="0" t="s">
        <v>171</v>
      </c>
      <c r="AB128" s="0" t="s">
        <v>46</v>
      </c>
      <c r="AC128" s="0" t="s">
        <v>51</v>
      </c>
      <c r="AD128" s="0" t="s">
        <v>689</v>
      </c>
      <c r="AE128" s="0" t="s">
        <v>690</v>
      </c>
      <c r="AF128" s="0" t="s">
        <v>691</v>
      </c>
      <c r="AG128" s="0" t="s">
        <v>692</v>
      </c>
      <c r="AH128" s="0" t="s">
        <v>46</v>
      </c>
      <c r="AI128" s="0" t="s">
        <v>46</v>
      </c>
      <c r="AJ128" s="0" t="s">
        <v>46</v>
      </c>
      <c r="AK128" s="0" t="s">
        <v>46</v>
      </c>
      <c r="AL128" s="0" t="s">
        <v>46</v>
      </c>
    </row>
    <row r="129" customFormat="false" ht="15" hidden="false" customHeight="false" outlineLevel="0" collapsed="false">
      <c r="B129" s="0" t="str">
        <f aca="false">HYPERLINK("https://genome.ucsc.edu/cgi-bin/hgTracks?db=hg19&amp;position=chr10%3A126727604%2D126727604", "chr10:126727604")</f>
        <v>chr10:126727604</v>
      </c>
      <c r="C129" s="0" t="s">
        <v>199</v>
      </c>
      <c r="D129" s="0" t="n">
        <v>126727604</v>
      </c>
      <c r="E129" s="0" t="n">
        <v>126727604</v>
      </c>
      <c r="F129" s="0" t="s">
        <v>40</v>
      </c>
      <c r="G129" s="0" t="s">
        <v>39</v>
      </c>
      <c r="H129" s="0" t="s">
        <v>823</v>
      </c>
      <c r="I129" s="0" t="s">
        <v>824</v>
      </c>
      <c r="J129" s="0" t="s">
        <v>825</v>
      </c>
      <c r="K129" s="0" t="s">
        <v>46</v>
      </c>
      <c r="L129" s="0" t="str">
        <f aca="false">HYPERLINK("https://www.ncbi.nlm.nih.gov/snp/rs78849795", "rs78849795")</f>
        <v>rs78849795</v>
      </c>
      <c r="M129" s="0" t="str">
        <f aca="false">HYPERLINK("https://www.genecards.org/Search/Keyword?queryString=%5Baliases%5D(%20CTBP2%20)&amp;keywords=CTBP2", "CTBP2")</f>
        <v>CTBP2</v>
      </c>
      <c r="N129" s="0" t="s">
        <v>98</v>
      </c>
      <c r="O129" s="0" t="s">
        <v>99</v>
      </c>
      <c r="P129" s="0" t="s">
        <v>828</v>
      </c>
      <c r="Q129" s="0" t="n">
        <v>3.23E-005</v>
      </c>
      <c r="R129" s="0" t="n">
        <v>-1</v>
      </c>
      <c r="S129" s="0" t="n">
        <v>-1</v>
      </c>
      <c r="T129" s="0" t="n">
        <v>-1</v>
      </c>
      <c r="U129" s="0" t="n">
        <v>-1</v>
      </c>
      <c r="V129" s="0" t="s">
        <v>215</v>
      </c>
      <c r="W129" s="0" t="s">
        <v>46</v>
      </c>
      <c r="X129" s="0" t="s">
        <v>46</v>
      </c>
      <c r="Y129" s="0" t="s">
        <v>46</v>
      </c>
      <c r="Z129" s="0" t="s">
        <v>102</v>
      </c>
      <c r="AA129" s="0" t="s">
        <v>171</v>
      </c>
      <c r="AB129" s="0" t="s">
        <v>46</v>
      </c>
      <c r="AC129" s="0" t="s">
        <v>51</v>
      </c>
      <c r="AD129" s="0" t="s">
        <v>689</v>
      </c>
      <c r="AE129" s="0" t="s">
        <v>690</v>
      </c>
      <c r="AF129" s="0" t="s">
        <v>691</v>
      </c>
      <c r="AG129" s="0" t="s">
        <v>692</v>
      </c>
      <c r="AH129" s="0" t="s">
        <v>46</v>
      </c>
      <c r="AI129" s="0" t="s">
        <v>802</v>
      </c>
      <c r="AJ129" s="0" t="s">
        <v>46</v>
      </c>
      <c r="AK129" s="0" t="s">
        <v>46</v>
      </c>
      <c r="AL129" s="0" t="s">
        <v>46</v>
      </c>
    </row>
    <row r="130" customFormat="false" ht="15" hidden="false" customHeight="false" outlineLevel="0" collapsed="false">
      <c r="B130" s="0" t="str">
        <f aca="false">HYPERLINK("https://genome.ucsc.edu/cgi-bin/hgTracks?db=hg19&amp;position=chr10%3A134503917%2D134503917", "chr10:134503917")</f>
        <v>chr10:134503917</v>
      </c>
      <c r="C130" s="0" t="s">
        <v>199</v>
      </c>
      <c r="D130" s="0" t="n">
        <v>134503917</v>
      </c>
      <c r="E130" s="0" t="n">
        <v>134503917</v>
      </c>
      <c r="F130" s="0" t="s">
        <v>39</v>
      </c>
      <c r="G130" s="0" t="s">
        <v>40</v>
      </c>
      <c r="H130" s="0" t="s">
        <v>829</v>
      </c>
      <c r="I130" s="0" t="s">
        <v>340</v>
      </c>
      <c r="J130" s="0" t="s">
        <v>830</v>
      </c>
      <c r="K130" s="0" t="s">
        <v>46</v>
      </c>
      <c r="L130" s="0" t="s">
        <v>46</v>
      </c>
      <c r="M130" s="0" t="str">
        <f aca="false">HYPERLINK("https://www.genecards.org/Search/Keyword?queryString=%5Baliases%5D(%20INPP5A%20)&amp;keywords=INPP5A", "INPP5A")</f>
        <v>INPP5A</v>
      </c>
      <c r="N130" s="0" t="s">
        <v>98</v>
      </c>
      <c r="O130" s="0" t="s">
        <v>99</v>
      </c>
      <c r="P130" s="0" t="s">
        <v>831</v>
      </c>
      <c r="Q130" s="0" t="n">
        <v>-1</v>
      </c>
      <c r="R130" s="0" t="n">
        <v>-1</v>
      </c>
      <c r="S130" s="0" t="n">
        <v>-1</v>
      </c>
      <c r="T130" s="0" t="n">
        <v>-1</v>
      </c>
      <c r="U130" s="0" t="n">
        <v>-1</v>
      </c>
      <c r="V130" s="0" t="s">
        <v>688</v>
      </c>
      <c r="W130" s="0" t="s">
        <v>46</v>
      </c>
      <c r="X130" s="0" t="s">
        <v>46</v>
      </c>
      <c r="Y130" s="0" t="s">
        <v>46</v>
      </c>
      <c r="Z130" s="0" t="s">
        <v>231</v>
      </c>
      <c r="AA130" s="0" t="s">
        <v>171</v>
      </c>
      <c r="AB130" s="0" t="s">
        <v>46</v>
      </c>
      <c r="AC130" s="0" t="s">
        <v>51</v>
      </c>
      <c r="AD130" s="0" t="s">
        <v>52</v>
      </c>
      <c r="AE130" s="0" t="s">
        <v>832</v>
      </c>
      <c r="AF130" s="0" t="s">
        <v>833</v>
      </c>
      <c r="AG130" s="0" t="s">
        <v>834</v>
      </c>
      <c r="AH130" s="0" t="s">
        <v>46</v>
      </c>
      <c r="AI130" s="0" t="s">
        <v>46</v>
      </c>
      <c r="AJ130" s="0" t="s">
        <v>46</v>
      </c>
      <c r="AK130" s="0" t="s">
        <v>46</v>
      </c>
      <c r="AL130" s="0" t="s">
        <v>46</v>
      </c>
    </row>
    <row r="131" customFormat="false" ht="15" hidden="false" customHeight="false" outlineLevel="0" collapsed="false">
      <c r="B131" s="0" t="str">
        <f aca="false">HYPERLINK("https://genome.ucsc.edu/cgi-bin/hgTracks?db=hg19&amp;position=chr11%3A404033%2D404033", "chr11:404033")</f>
        <v>chr11:404033</v>
      </c>
      <c r="C131" s="0" t="s">
        <v>38</v>
      </c>
      <c r="D131" s="0" t="n">
        <v>404033</v>
      </c>
      <c r="E131" s="0" t="n">
        <v>404033</v>
      </c>
      <c r="F131" s="0" t="s">
        <v>39</v>
      </c>
      <c r="G131" s="0" t="s">
        <v>40</v>
      </c>
      <c r="H131" s="0" t="s">
        <v>835</v>
      </c>
      <c r="I131" s="0" t="s">
        <v>154</v>
      </c>
      <c r="J131" s="0" t="s">
        <v>836</v>
      </c>
      <c r="K131" s="0" t="s">
        <v>46</v>
      </c>
      <c r="L131" s="0" t="str">
        <f aca="false">HYPERLINK("https://www.ncbi.nlm.nih.gov/snp/rs201971699", "rs201971699")</f>
        <v>rs201971699</v>
      </c>
      <c r="M131" s="0" t="str">
        <f aca="false">HYPERLINK("https://www.genecards.org/Search/Keyword?queryString=%5Baliases%5D(%20PKP3%20)&amp;keywords=PKP3", "PKP3")</f>
        <v>PKP3</v>
      </c>
      <c r="N131" s="0" t="s">
        <v>98</v>
      </c>
      <c r="O131" s="0" t="s">
        <v>99</v>
      </c>
      <c r="P131" s="0" t="s">
        <v>837</v>
      </c>
      <c r="Q131" s="0" t="n">
        <v>0.0019</v>
      </c>
      <c r="R131" s="0" t="n">
        <v>0.002</v>
      </c>
      <c r="S131" s="0" t="n">
        <v>0.0019</v>
      </c>
      <c r="T131" s="0" t="n">
        <v>-1</v>
      </c>
      <c r="U131" s="0" t="n">
        <v>0.0022</v>
      </c>
      <c r="V131" s="0" t="s">
        <v>257</v>
      </c>
      <c r="W131" s="0" t="s">
        <v>46</v>
      </c>
      <c r="X131" s="0" t="s">
        <v>46</v>
      </c>
      <c r="Y131" s="0" t="s">
        <v>46</v>
      </c>
      <c r="Z131" s="0" t="s">
        <v>159</v>
      </c>
      <c r="AA131" s="0" t="s">
        <v>171</v>
      </c>
      <c r="AB131" s="0" t="s">
        <v>46</v>
      </c>
      <c r="AC131" s="0" t="s">
        <v>51</v>
      </c>
      <c r="AD131" s="0" t="s">
        <v>52</v>
      </c>
      <c r="AE131" s="0" t="s">
        <v>838</v>
      </c>
      <c r="AF131" s="0" t="s">
        <v>839</v>
      </c>
      <c r="AG131" s="0" t="s">
        <v>840</v>
      </c>
      <c r="AH131" s="0" t="s">
        <v>46</v>
      </c>
      <c r="AI131" s="0" t="s">
        <v>46</v>
      </c>
      <c r="AJ131" s="0" t="s">
        <v>46</v>
      </c>
      <c r="AK131" s="0" t="s">
        <v>46</v>
      </c>
      <c r="AL131" s="0" t="s">
        <v>46</v>
      </c>
    </row>
    <row r="132" customFormat="false" ht="15" hidden="false" customHeight="false" outlineLevel="0" collapsed="false">
      <c r="B132" s="0" t="str">
        <f aca="false">HYPERLINK("https://genome.ucsc.edu/cgi-bin/hgTracks?db=hg19&amp;position=chr11%3A5461841%2D5461841", "chr11:5461841")</f>
        <v>chr11:5461841</v>
      </c>
      <c r="C132" s="0" t="s">
        <v>38</v>
      </c>
      <c r="D132" s="0" t="n">
        <v>5461841</v>
      </c>
      <c r="E132" s="0" t="n">
        <v>5461841</v>
      </c>
      <c r="F132" s="0" t="s">
        <v>69</v>
      </c>
      <c r="G132" s="0" t="s">
        <v>57</v>
      </c>
      <c r="H132" s="0" t="s">
        <v>841</v>
      </c>
      <c r="I132" s="0" t="s">
        <v>842</v>
      </c>
      <c r="J132" s="0" t="s">
        <v>843</v>
      </c>
      <c r="K132" s="0" t="s">
        <v>46</v>
      </c>
      <c r="L132" s="0" t="str">
        <f aca="false">HYPERLINK("https://www.ncbi.nlm.nih.gov/snp/rs61736831", "rs61736831")</f>
        <v>rs61736831</v>
      </c>
      <c r="M132" s="0" t="str">
        <f aca="false">HYPERLINK("https://www.genecards.org/Search/Keyword?queryString=%5Baliases%5D(%20OR51I1%20)&amp;keywords=OR51I1", "OR51I1")</f>
        <v>OR51I1</v>
      </c>
      <c r="N132" s="0" t="s">
        <v>98</v>
      </c>
      <c r="O132" s="0" t="s">
        <v>99</v>
      </c>
      <c r="P132" s="0" t="s">
        <v>844</v>
      </c>
      <c r="Q132" s="0" t="n">
        <v>0.0049</v>
      </c>
      <c r="R132" s="0" t="n">
        <v>0.0042</v>
      </c>
      <c r="S132" s="0" t="n">
        <v>0.0036</v>
      </c>
      <c r="T132" s="0" t="n">
        <v>-1</v>
      </c>
      <c r="U132" s="0" t="n">
        <v>0.0081</v>
      </c>
      <c r="V132" s="0" t="s">
        <v>194</v>
      </c>
      <c r="W132" s="0" t="s">
        <v>46</v>
      </c>
      <c r="X132" s="0" t="s">
        <v>46</v>
      </c>
      <c r="Y132" s="0" t="s">
        <v>46</v>
      </c>
      <c r="Z132" s="0" t="s">
        <v>138</v>
      </c>
      <c r="AA132" s="0" t="s">
        <v>171</v>
      </c>
      <c r="AB132" s="0" t="s">
        <v>46</v>
      </c>
      <c r="AC132" s="0" t="s">
        <v>51</v>
      </c>
      <c r="AD132" s="0" t="s">
        <v>52</v>
      </c>
      <c r="AE132" s="0" t="s">
        <v>845</v>
      </c>
      <c r="AF132" s="0" t="s">
        <v>846</v>
      </c>
      <c r="AG132" s="0" t="s">
        <v>847</v>
      </c>
      <c r="AH132" s="0" t="s">
        <v>46</v>
      </c>
      <c r="AI132" s="0" t="s">
        <v>46</v>
      </c>
      <c r="AJ132" s="0" t="s">
        <v>46</v>
      </c>
      <c r="AK132" s="0" t="s">
        <v>46</v>
      </c>
      <c r="AL132" s="0" t="s">
        <v>46</v>
      </c>
    </row>
    <row r="133" customFormat="false" ht="15" hidden="false" customHeight="false" outlineLevel="0" collapsed="false">
      <c r="B133" s="0" t="str">
        <f aca="false">HYPERLINK("https://genome.ucsc.edu/cgi-bin/hgTracks?db=hg19&amp;position=chr11%3A7509386%2D7509386", "chr11:7509386")</f>
        <v>chr11:7509386</v>
      </c>
      <c r="C133" s="0" t="s">
        <v>38</v>
      </c>
      <c r="D133" s="0" t="n">
        <v>7509386</v>
      </c>
      <c r="E133" s="0" t="n">
        <v>7509386</v>
      </c>
      <c r="F133" s="0" t="s">
        <v>39</v>
      </c>
      <c r="G133" s="0" t="s">
        <v>40</v>
      </c>
      <c r="H133" s="0" t="s">
        <v>848</v>
      </c>
      <c r="I133" s="0" t="s">
        <v>547</v>
      </c>
      <c r="J133" s="0" t="s">
        <v>676</v>
      </c>
      <c r="K133" s="0" t="s">
        <v>46</v>
      </c>
      <c r="L133" s="0" t="str">
        <f aca="false">HYPERLINK("https://www.ncbi.nlm.nih.gov/snp/rs141351486", "rs141351486")</f>
        <v>rs141351486</v>
      </c>
      <c r="M133" s="0" t="str">
        <f aca="false">HYPERLINK("https://www.genecards.org/Search/Keyword?queryString=%5Baliases%5D(%20OLFML1%20)&amp;keywords=OLFML1", "OLFML1")</f>
        <v>OLFML1</v>
      </c>
      <c r="N133" s="0" t="s">
        <v>98</v>
      </c>
      <c r="O133" s="0" t="s">
        <v>99</v>
      </c>
      <c r="P133" s="0" t="s">
        <v>849</v>
      </c>
      <c r="Q133" s="0" t="n">
        <v>0.012195</v>
      </c>
      <c r="R133" s="0" t="n">
        <v>0.0079</v>
      </c>
      <c r="S133" s="0" t="n">
        <v>0.0065</v>
      </c>
      <c r="T133" s="0" t="n">
        <v>-1</v>
      </c>
      <c r="U133" s="0" t="n">
        <v>0.0116</v>
      </c>
      <c r="V133" s="0" t="s">
        <v>101</v>
      </c>
      <c r="W133" s="0" t="s">
        <v>46</v>
      </c>
      <c r="X133" s="0" t="s">
        <v>46</v>
      </c>
      <c r="Y133" s="0" t="s">
        <v>46</v>
      </c>
      <c r="Z133" s="0" t="s">
        <v>159</v>
      </c>
      <c r="AA133" s="0" t="s">
        <v>171</v>
      </c>
      <c r="AB133" s="0" t="s">
        <v>46</v>
      </c>
      <c r="AC133" s="0" t="s">
        <v>51</v>
      </c>
      <c r="AD133" s="0" t="s">
        <v>52</v>
      </c>
      <c r="AE133" s="0" t="s">
        <v>850</v>
      </c>
      <c r="AF133" s="0" t="s">
        <v>851</v>
      </c>
      <c r="AG133" s="0" t="s">
        <v>46</v>
      </c>
      <c r="AH133" s="0" t="s">
        <v>46</v>
      </c>
      <c r="AI133" s="0" t="s">
        <v>46</v>
      </c>
      <c r="AJ133" s="0" t="s">
        <v>46</v>
      </c>
      <c r="AK133" s="0" t="s">
        <v>46</v>
      </c>
      <c r="AL133" s="0" t="s">
        <v>46</v>
      </c>
    </row>
    <row r="134" customFormat="false" ht="15" hidden="false" customHeight="false" outlineLevel="0" collapsed="false">
      <c r="B134" s="0" t="str">
        <f aca="false">HYPERLINK("https://genome.ucsc.edu/cgi-bin/hgTracks?db=hg19&amp;position=chr11%3A19914072%2D19914072", "chr11:19914072")</f>
        <v>chr11:19914072</v>
      </c>
      <c r="C134" s="0" t="s">
        <v>38</v>
      </c>
      <c r="D134" s="0" t="n">
        <v>19914072</v>
      </c>
      <c r="E134" s="0" t="n">
        <v>19914072</v>
      </c>
      <c r="F134" s="0" t="s">
        <v>69</v>
      </c>
      <c r="G134" s="0" t="s">
        <v>57</v>
      </c>
      <c r="H134" s="0" t="s">
        <v>852</v>
      </c>
      <c r="I134" s="0" t="s">
        <v>853</v>
      </c>
      <c r="J134" s="0" t="s">
        <v>854</v>
      </c>
      <c r="K134" s="0" t="s">
        <v>46</v>
      </c>
      <c r="L134" s="0" t="str">
        <f aca="false">HYPERLINK("https://www.ncbi.nlm.nih.gov/snp/rs142341675", "rs142341675")</f>
        <v>rs142341675</v>
      </c>
      <c r="M134" s="0" t="str">
        <f aca="false">HYPERLINK("https://www.genecards.org/Search/Keyword?queryString=%5Baliases%5D(%20NAV2%20)&amp;keywords=NAV2", "NAV2")</f>
        <v>NAV2</v>
      </c>
      <c r="N134" s="0" t="s">
        <v>98</v>
      </c>
      <c r="O134" s="0" t="s">
        <v>99</v>
      </c>
      <c r="P134" s="0" t="s">
        <v>855</v>
      </c>
      <c r="Q134" s="0" t="n">
        <v>0.0007</v>
      </c>
      <c r="R134" s="0" t="n">
        <v>0.0006</v>
      </c>
      <c r="S134" s="0" t="n">
        <v>0.0007</v>
      </c>
      <c r="T134" s="0" t="n">
        <v>-1</v>
      </c>
      <c r="U134" s="0" t="n">
        <v>0.0005</v>
      </c>
      <c r="V134" s="0" t="s">
        <v>194</v>
      </c>
      <c r="W134" s="0" t="s">
        <v>46</v>
      </c>
      <c r="X134" s="0" t="s">
        <v>46</v>
      </c>
      <c r="Y134" s="0" t="s">
        <v>46</v>
      </c>
      <c r="Z134" s="0" t="s">
        <v>240</v>
      </c>
      <c r="AA134" s="0" t="s">
        <v>171</v>
      </c>
      <c r="AB134" s="0" t="s">
        <v>46</v>
      </c>
      <c r="AC134" s="0" t="s">
        <v>51</v>
      </c>
      <c r="AD134" s="0" t="s">
        <v>856</v>
      </c>
      <c r="AE134" s="0" t="s">
        <v>857</v>
      </c>
      <c r="AF134" s="0" t="s">
        <v>858</v>
      </c>
      <c r="AG134" s="0" t="s">
        <v>859</v>
      </c>
      <c r="AH134" s="0" t="s">
        <v>46</v>
      </c>
      <c r="AI134" s="0" t="s">
        <v>46</v>
      </c>
      <c r="AJ134" s="0" t="s">
        <v>46</v>
      </c>
      <c r="AK134" s="0" t="s">
        <v>46</v>
      </c>
      <c r="AL134" s="0" t="s">
        <v>46</v>
      </c>
    </row>
    <row r="135" customFormat="false" ht="15" hidden="false" customHeight="false" outlineLevel="0" collapsed="false">
      <c r="B135" s="0" t="str">
        <f aca="false">HYPERLINK("https://genome.ucsc.edu/cgi-bin/hgTracks?db=hg19&amp;position=chr11%3A55110699%2D55110699", "chr11:55110699")</f>
        <v>chr11:55110699</v>
      </c>
      <c r="C135" s="0" t="s">
        <v>38</v>
      </c>
      <c r="D135" s="0" t="n">
        <v>55110699</v>
      </c>
      <c r="E135" s="0" t="n">
        <v>55110699</v>
      </c>
      <c r="F135" s="0" t="s">
        <v>39</v>
      </c>
      <c r="G135" s="0" t="s">
        <v>40</v>
      </c>
      <c r="H135" s="0" t="s">
        <v>860</v>
      </c>
      <c r="I135" s="0" t="s">
        <v>421</v>
      </c>
      <c r="J135" s="0" t="s">
        <v>861</v>
      </c>
      <c r="K135" s="0" t="s">
        <v>46</v>
      </c>
      <c r="L135" s="0" t="s">
        <v>46</v>
      </c>
      <c r="M135" s="0" t="str">
        <f aca="false">HYPERLINK("https://www.genecards.org/Search/Keyword?queryString=%5Baliases%5D(%20OR4A16%20)&amp;keywords=OR4A16", "OR4A16")</f>
        <v>OR4A16</v>
      </c>
      <c r="N135" s="0" t="s">
        <v>98</v>
      </c>
      <c r="O135" s="0" t="s">
        <v>99</v>
      </c>
      <c r="P135" s="0" t="s">
        <v>862</v>
      </c>
      <c r="Q135" s="0" t="n">
        <v>-1</v>
      </c>
      <c r="R135" s="0" t="n">
        <v>-1</v>
      </c>
      <c r="S135" s="0" t="n">
        <v>-1</v>
      </c>
      <c r="T135" s="0" t="n">
        <v>-1</v>
      </c>
      <c r="U135" s="0" t="n">
        <v>-1</v>
      </c>
      <c r="V135" s="0" t="s">
        <v>257</v>
      </c>
      <c r="W135" s="0" t="s">
        <v>46</v>
      </c>
      <c r="X135" s="0" t="s">
        <v>46</v>
      </c>
      <c r="Y135" s="0" t="s">
        <v>46</v>
      </c>
      <c r="Z135" s="0" t="s">
        <v>49</v>
      </c>
      <c r="AA135" s="0" t="s">
        <v>171</v>
      </c>
      <c r="AB135" s="0" t="s">
        <v>46</v>
      </c>
      <c r="AC135" s="0" t="s">
        <v>51</v>
      </c>
      <c r="AD135" s="0" t="s">
        <v>52</v>
      </c>
      <c r="AE135" s="0" t="s">
        <v>863</v>
      </c>
      <c r="AF135" s="0" t="s">
        <v>864</v>
      </c>
      <c r="AG135" s="0" t="s">
        <v>847</v>
      </c>
      <c r="AH135" s="0" t="s">
        <v>46</v>
      </c>
      <c r="AI135" s="0" t="s">
        <v>46</v>
      </c>
      <c r="AJ135" s="0" t="s">
        <v>46</v>
      </c>
      <c r="AK135" s="0" t="s">
        <v>46</v>
      </c>
      <c r="AL135" s="0" t="s">
        <v>46</v>
      </c>
    </row>
    <row r="136" customFormat="false" ht="15" hidden="false" customHeight="false" outlineLevel="0" collapsed="false">
      <c r="B136" s="0" t="str">
        <f aca="false">HYPERLINK("https://genome.ucsc.edu/cgi-bin/hgTracks?db=hg19&amp;position=chr11%3A64545731%2D64545731", "chr11:64545731")</f>
        <v>chr11:64545731</v>
      </c>
      <c r="C136" s="0" t="s">
        <v>38</v>
      </c>
      <c r="D136" s="0" t="n">
        <v>64545731</v>
      </c>
      <c r="E136" s="0" t="n">
        <v>64545731</v>
      </c>
      <c r="F136" s="0" t="s">
        <v>69</v>
      </c>
      <c r="G136" s="0" t="s">
        <v>57</v>
      </c>
      <c r="H136" s="0" t="s">
        <v>865</v>
      </c>
      <c r="I136" s="0" t="s">
        <v>311</v>
      </c>
      <c r="J136" s="0" t="s">
        <v>866</v>
      </c>
      <c r="K136" s="0" t="s">
        <v>46</v>
      </c>
      <c r="L136" s="0" t="s">
        <v>46</v>
      </c>
      <c r="M136" s="0" t="str">
        <f aca="false">HYPERLINK("https://www.genecards.org/Search/Keyword?queryString=%5Baliases%5D(%20SF1%20)&amp;keywords=SF1", "SF1")</f>
        <v>SF1</v>
      </c>
      <c r="N136" s="0" t="s">
        <v>98</v>
      </c>
      <c r="O136" s="0" t="s">
        <v>99</v>
      </c>
      <c r="P136" s="0" t="s">
        <v>867</v>
      </c>
      <c r="Q136" s="0" t="n">
        <v>-1</v>
      </c>
      <c r="R136" s="0" t="n">
        <v>-1</v>
      </c>
      <c r="S136" s="0" t="n">
        <v>-1</v>
      </c>
      <c r="T136" s="0" t="n">
        <v>-1</v>
      </c>
      <c r="U136" s="0" t="n">
        <v>-1</v>
      </c>
      <c r="V136" s="0" t="s">
        <v>148</v>
      </c>
      <c r="W136" s="0" t="s">
        <v>46</v>
      </c>
      <c r="X136" s="0" t="s">
        <v>46</v>
      </c>
      <c r="Y136" s="0" t="s">
        <v>46</v>
      </c>
      <c r="Z136" s="0" t="s">
        <v>49</v>
      </c>
      <c r="AA136" s="0" t="s">
        <v>171</v>
      </c>
      <c r="AB136" s="0" t="s">
        <v>46</v>
      </c>
      <c r="AC136" s="0" t="s">
        <v>51</v>
      </c>
      <c r="AD136" s="0" t="s">
        <v>52</v>
      </c>
      <c r="AE136" s="0" t="s">
        <v>868</v>
      </c>
      <c r="AF136" s="0" t="s">
        <v>869</v>
      </c>
      <c r="AG136" s="0" t="s">
        <v>870</v>
      </c>
      <c r="AH136" s="0" t="s">
        <v>46</v>
      </c>
      <c r="AI136" s="0" t="s">
        <v>46</v>
      </c>
      <c r="AJ136" s="0" t="s">
        <v>46</v>
      </c>
      <c r="AK136" s="0" t="s">
        <v>46</v>
      </c>
      <c r="AL136" s="0" t="s">
        <v>46</v>
      </c>
    </row>
    <row r="137" customFormat="false" ht="15" hidden="false" customHeight="false" outlineLevel="0" collapsed="false">
      <c r="B137" s="0" t="str">
        <f aca="false">HYPERLINK("https://genome.ucsc.edu/cgi-bin/hgTracks?db=hg19&amp;position=chr11%3A65347830%2D65347830", "chr11:65347830")</f>
        <v>chr11:65347830</v>
      </c>
      <c r="C137" s="0" t="s">
        <v>38</v>
      </c>
      <c r="D137" s="0" t="n">
        <v>65347830</v>
      </c>
      <c r="E137" s="0" t="n">
        <v>65347830</v>
      </c>
      <c r="F137" s="0" t="s">
        <v>69</v>
      </c>
      <c r="G137" s="0" t="s">
        <v>57</v>
      </c>
      <c r="H137" s="0" t="s">
        <v>871</v>
      </c>
      <c r="I137" s="0" t="s">
        <v>872</v>
      </c>
      <c r="J137" s="0" t="s">
        <v>873</v>
      </c>
      <c r="K137" s="0" t="s">
        <v>46</v>
      </c>
      <c r="L137" s="0" t="str">
        <f aca="false">HYPERLINK("https://www.ncbi.nlm.nih.gov/snp/rs199551986", "rs199551986")</f>
        <v>rs199551986</v>
      </c>
      <c r="M137" s="0" t="str">
        <f aca="false">HYPERLINK("https://www.genecards.org/Search/Keyword?queryString=%5Baliases%5D(%20EHBP1L1%20)&amp;keywords=EHBP1L1", "EHBP1L1")</f>
        <v>EHBP1L1</v>
      </c>
      <c r="N137" s="0" t="s">
        <v>98</v>
      </c>
      <c r="O137" s="0" t="s">
        <v>99</v>
      </c>
      <c r="P137" s="0" t="s">
        <v>874</v>
      </c>
      <c r="Q137" s="0" t="n">
        <v>0.022727</v>
      </c>
      <c r="R137" s="0" t="n">
        <v>0.0005</v>
      </c>
      <c r="S137" s="0" t="n">
        <v>0.0004</v>
      </c>
      <c r="T137" s="0" t="n">
        <v>-1</v>
      </c>
      <c r="U137" s="0" t="n">
        <v>-1</v>
      </c>
      <c r="V137" s="0" t="s">
        <v>182</v>
      </c>
      <c r="W137" s="0" t="s">
        <v>46</v>
      </c>
      <c r="X137" s="0" t="s">
        <v>46</v>
      </c>
      <c r="Y137" s="0" t="s">
        <v>46</v>
      </c>
      <c r="Z137" s="0" t="s">
        <v>102</v>
      </c>
      <c r="AA137" s="0" t="s">
        <v>171</v>
      </c>
      <c r="AB137" s="0" t="s">
        <v>46</v>
      </c>
      <c r="AC137" s="0" t="s">
        <v>51</v>
      </c>
      <c r="AD137" s="0" t="s">
        <v>52</v>
      </c>
      <c r="AE137" s="0" t="s">
        <v>875</v>
      </c>
      <c r="AF137" s="0" t="s">
        <v>876</v>
      </c>
      <c r="AG137" s="0" t="s">
        <v>46</v>
      </c>
      <c r="AH137" s="0" t="s">
        <v>46</v>
      </c>
      <c r="AI137" s="0" t="s">
        <v>46</v>
      </c>
      <c r="AJ137" s="0" t="s">
        <v>46</v>
      </c>
      <c r="AK137" s="0" t="s">
        <v>46</v>
      </c>
      <c r="AL137" s="0" t="s">
        <v>46</v>
      </c>
    </row>
    <row r="138" customFormat="false" ht="15" hidden="false" customHeight="false" outlineLevel="0" collapsed="false">
      <c r="B138" s="0" t="str">
        <f aca="false">HYPERLINK("https://genome.ucsc.edu/cgi-bin/hgTracks?db=hg19&amp;position=chr11%3A70331557%2D70331557", "chr11:70331557")</f>
        <v>chr11:70331557</v>
      </c>
      <c r="C138" s="0" t="s">
        <v>38</v>
      </c>
      <c r="D138" s="0" t="n">
        <v>70331557</v>
      </c>
      <c r="E138" s="0" t="n">
        <v>70331557</v>
      </c>
      <c r="F138" s="0" t="s">
        <v>69</v>
      </c>
      <c r="G138" s="0" t="s">
        <v>57</v>
      </c>
      <c r="H138" s="0" t="s">
        <v>877</v>
      </c>
      <c r="I138" s="0" t="s">
        <v>273</v>
      </c>
      <c r="J138" s="0" t="s">
        <v>878</v>
      </c>
      <c r="K138" s="0" t="s">
        <v>46</v>
      </c>
      <c r="L138" s="0" t="s">
        <v>46</v>
      </c>
      <c r="M138" s="0" t="str">
        <f aca="false">HYPERLINK("https://www.genecards.org/Search/Keyword?queryString=%5Baliases%5D(%20SHANK2%20)&amp;keywords=SHANK2", "SHANK2")</f>
        <v>SHANK2</v>
      </c>
      <c r="N138" s="0" t="s">
        <v>98</v>
      </c>
      <c r="O138" s="0" t="s">
        <v>99</v>
      </c>
      <c r="P138" s="0" t="s">
        <v>879</v>
      </c>
      <c r="Q138" s="0" t="n">
        <v>-1</v>
      </c>
      <c r="R138" s="0" t="n">
        <v>-1</v>
      </c>
      <c r="S138" s="0" t="n">
        <v>-1</v>
      </c>
      <c r="T138" s="0" t="n">
        <v>-1</v>
      </c>
      <c r="U138" s="0" t="n">
        <v>-1</v>
      </c>
      <c r="V138" s="0" t="s">
        <v>600</v>
      </c>
      <c r="W138" s="0" t="s">
        <v>46</v>
      </c>
      <c r="X138" s="0" t="s">
        <v>46</v>
      </c>
      <c r="Y138" s="0" t="s">
        <v>46</v>
      </c>
      <c r="Z138" s="0" t="s">
        <v>183</v>
      </c>
      <c r="AA138" s="0" t="s">
        <v>171</v>
      </c>
      <c r="AB138" s="0" t="s">
        <v>46</v>
      </c>
      <c r="AC138" s="0" t="s">
        <v>51</v>
      </c>
      <c r="AD138" s="0" t="s">
        <v>52</v>
      </c>
      <c r="AE138" s="0" t="s">
        <v>880</v>
      </c>
      <c r="AF138" s="0" t="s">
        <v>881</v>
      </c>
      <c r="AG138" s="0" t="s">
        <v>882</v>
      </c>
      <c r="AH138" s="0" t="s">
        <v>883</v>
      </c>
      <c r="AI138" s="0" t="s">
        <v>46</v>
      </c>
      <c r="AJ138" s="0" t="s">
        <v>46</v>
      </c>
      <c r="AK138" s="0" t="s">
        <v>46</v>
      </c>
      <c r="AL138" s="0" t="s">
        <v>46</v>
      </c>
    </row>
    <row r="139" customFormat="false" ht="15" hidden="false" customHeight="false" outlineLevel="0" collapsed="false">
      <c r="B139" s="0" t="str">
        <f aca="false">HYPERLINK("https://genome.ucsc.edu/cgi-bin/hgTracks?db=hg19&amp;position=chr11%3A103907858%2D103907858", "chr11:103907858")</f>
        <v>chr11:103907858</v>
      </c>
      <c r="C139" s="0" t="s">
        <v>38</v>
      </c>
      <c r="D139" s="0" t="n">
        <v>103907858</v>
      </c>
      <c r="E139" s="0" t="n">
        <v>103907858</v>
      </c>
      <c r="F139" s="0" t="s">
        <v>69</v>
      </c>
      <c r="G139" s="0" t="s">
        <v>39</v>
      </c>
      <c r="H139" s="0" t="s">
        <v>884</v>
      </c>
      <c r="I139" s="0" t="s">
        <v>190</v>
      </c>
      <c r="J139" s="0" t="s">
        <v>885</v>
      </c>
      <c r="K139" s="0" t="s">
        <v>46</v>
      </c>
      <c r="L139" s="0" t="str">
        <f aca="false">HYPERLINK("https://www.ncbi.nlm.nih.gov/snp/rs115094910", "rs115094910")</f>
        <v>rs115094910</v>
      </c>
      <c r="M139" s="0" t="str">
        <f aca="false">HYPERLINK("https://www.genecards.org/Search/Keyword?queryString=%5Baliases%5D(%20DDI1%20)&amp;keywords=DDI1", "DDI1")</f>
        <v>DDI1</v>
      </c>
      <c r="N139" s="0" t="s">
        <v>98</v>
      </c>
      <c r="O139" s="0" t="s">
        <v>99</v>
      </c>
      <c r="P139" s="0" t="s">
        <v>886</v>
      </c>
      <c r="Q139" s="0" t="n">
        <v>0.0259</v>
      </c>
      <c r="R139" s="0" t="n">
        <v>0.0164</v>
      </c>
      <c r="S139" s="0" t="n">
        <v>0.016</v>
      </c>
      <c r="T139" s="0" t="n">
        <v>-1</v>
      </c>
      <c r="U139" s="0" t="n">
        <v>0.0153</v>
      </c>
      <c r="V139" s="0" t="s">
        <v>323</v>
      </c>
      <c r="W139" s="0" t="s">
        <v>46</v>
      </c>
      <c r="X139" s="0" t="s">
        <v>46</v>
      </c>
      <c r="Y139" s="0" t="s">
        <v>46</v>
      </c>
      <c r="Z139" s="0" t="s">
        <v>102</v>
      </c>
      <c r="AA139" s="0" t="s">
        <v>171</v>
      </c>
      <c r="AB139" s="0" t="s">
        <v>46</v>
      </c>
      <c r="AC139" s="0" t="s">
        <v>51</v>
      </c>
      <c r="AD139" s="0" t="s">
        <v>52</v>
      </c>
      <c r="AE139" s="0" t="s">
        <v>887</v>
      </c>
      <c r="AF139" s="0" t="s">
        <v>888</v>
      </c>
      <c r="AG139" s="0" t="s">
        <v>46</v>
      </c>
      <c r="AH139" s="0" t="s">
        <v>46</v>
      </c>
      <c r="AI139" s="0" t="s">
        <v>46</v>
      </c>
      <c r="AJ139" s="0" t="s">
        <v>46</v>
      </c>
      <c r="AK139" s="0" t="s">
        <v>46</v>
      </c>
      <c r="AL139" s="0" t="s">
        <v>46</v>
      </c>
    </row>
    <row r="140" customFormat="false" ht="15" hidden="false" customHeight="false" outlineLevel="0" collapsed="false">
      <c r="B140" s="0" t="str">
        <f aca="false">HYPERLINK("https://genome.ucsc.edu/cgi-bin/hgTracks?db=hg19&amp;position=chr11%3A119044535%2D119044535", "chr11:119044535")</f>
        <v>chr11:119044535</v>
      </c>
      <c r="C140" s="0" t="s">
        <v>38</v>
      </c>
      <c r="D140" s="0" t="n">
        <v>119044535</v>
      </c>
      <c r="E140" s="0" t="n">
        <v>119044535</v>
      </c>
      <c r="F140" s="0" t="s">
        <v>39</v>
      </c>
      <c r="G140" s="0" t="s">
        <v>69</v>
      </c>
      <c r="H140" s="0" t="s">
        <v>889</v>
      </c>
      <c r="I140" s="0" t="s">
        <v>694</v>
      </c>
      <c r="J140" s="0" t="s">
        <v>890</v>
      </c>
      <c r="K140" s="0" t="s">
        <v>46</v>
      </c>
      <c r="L140" s="0" t="str">
        <f aca="false">HYPERLINK("https://www.ncbi.nlm.nih.gov/snp/rs150153921", "rs150153921")</f>
        <v>rs150153921</v>
      </c>
      <c r="M140" s="0" t="str">
        <f aca="false">HYPERLINK("https://www.genecards.org/Search/Keyword?queryString=%5Baliases%5D(%20NLRX1%20)&amp;keywords=NLRX1", "NLRX1")</f>
        <v>NLRX1</v>
      </c>
      <c r="N140" s="0" t="s">
        <v>98</v>
      </c>
      <c r="O140" s="0" t="s">
        <v>99</v>
      </c>
      <c r="P140" s="0" t="s">
        <v>891</v>
      </c>
      <c r="Q140" s="0" t="n">
        <v>0.0184</v>
      </c>
      <c r="R140" s="0" t="n">
        <v>0.0071</v>
      </c>
      <c r="S140" s="0" t="n">
        <v>0.0067</v>
      </c>
      <c r="T140" s="0" t="n">
        <v>-1</v>
      </c>
      <c r="U140" s="0" t="n">
        <v>0.0071</v>
      </c>
      <c r="V140" s="0" t="s">
        <v>158</v>
      </c>
      <c r="W140" s="0" t="s">
        <v>46</v>
      </c>
      <c r="X140" s="0" t="s">
        <v>46</v>
      </c>
      <c r="Y140" s="0" t="s">
        <v>46</v>
      </c>
      <c r="Z140" s="0" t="s">
        <v>159</v>
      </c>
      <c r="AA140" s="0" t="s">
        <v>171</v>
      </c>
      <c r="AB140" s="0" t="s">
        <v>46</v>
      </c>
      <c r="AC140" s="0" t="s">
        <v>51</v>
      </c>
      <c r="AD140" s="0" t="s">
        <v>52</v>
      </c>
      <c r="AE140" s="0" t="s">
        <v>892</v>
      </c>
      <c r="AF140" s="0" t="s">
        <v>893</v>
      </c>
      <c r="AG140" s="0" t="s">
        <v>894</v>
      </c>
      <c r="AH140" s="0" t="s">
        <v>46</v>
      </c>
      <c r="AI140" s="0" t="s">
        <v>46</v>
      </c>
      <c r="AJ140" s="0" t="s">
        <v>46</v>
      </c>
      <c r="AK140" s="0" t="s">
        <v>46</v>
      </c>
      <c r="AL140" s="0" t="s">
        <v>46</v>
      </c>
    </row>
    <row r="141" customFormat="false" ht="15" hidden="false" customHeight="false" outlineLevel="0" collapsed="false">
      <c r="B141" s="0" t="str">
        <f aca="false">HYPERLINK("https://genome.ucsc.edu/cgi-bin/hgTracks?db=hg19&amp;position=chr11%3A122852349%2D122852349", "chr11:122852349")</f>
        <v>chr11:122852349</v>
      </c>
      <c r="C141" s="0" t="s">
        <v>38</v>
      </c>
      <c r="D141" s="0" t="n">
        <v>122852349</v>
      </c>
      <c r="E141" s="0" t="n">
        <v>122852349</v>
      </c>
      <c r="F141" s="0" t="s">
        <v>69</v>
      </c>
      <c r="G141" s="0" t="s">
        <v>39</v>
      </c>
      <c r="H141" s="0" t="s">
        <v>895</v>
      </c>
      <c r="I141" s="0" t="s">
        <v>896</v>
      </c>
      <c r="J141" s="0" t="s">
        <v>897</v>
      </c>
      <c r="K141" s="0" t="s">
        <v>46</v>
      </c>
      <c r="L141" s="0" t="str">
        <f aca="false">HYPERLINK("https://www.ncbi.nlm.nih.gov/snp/rs62624971", "rs62624971")</f>
        <v>rs62624971</v>
      </c>
      <c r="M141" s="0" t="str">
        <f aca="false">HYPERLINK("https://www.genecards.org/Search/Keyword?queryString=%5Baliases%5D(%20BSX%20)&amp;keywords=BSX", "BSX")</f>
        <v>BSX</v>
      </c>
      <c r="N141" s="0" t="s">
        <v>98</v>
      </c>
      <c r="O141" s="0" t="s">
        <v>99</v>
      </c>
      <c r="P141" s="0" t="s">
        <v>898</v>
      </c>
      <c r="Q141" s="0" t="n">
        <v>0.0148</v>
      </c>
      <c r="R141" s="0" t="n">
        <v>0.013</v>
      </c>
      <c r="S141" s="0" t="n">
        <v>0.0122</v>
      </c>
      <c r="T141" s="0" t="n">
        <v>-1</v>
      </c>
      <c r="U141" s="0" t="n">
        <v>0.0122</v>
      </c>
      <c r="V141" s="0" t="s">
        <v>158</v>
      </c>
      <c r="W141" s="0" t="s">
        <v>46</v>
      </c>
      <c r="X141" s="0" t="s">
        <v>46</v>
      </c>
      <c r="Y141" s="0" t="s">
        <v>46</v>
      </c>
      <c r="Z141" s="0" t="s">
        <v>159</v>
      </c>
      <c r="AA141" s="0" t="s">
        <v>171</v>
      </c>
      <c r="AB141" s="0" t="s">
        <v>46</v>
      </c>
      <c r="AC141" s="0" t="s">
        <v>51</v>
      </c>
      <c r="AD141" s="0" t="s">
        <v>52</v>
      </c>
      <c r="AE141" s="0" t="s">
        <v>899</v>
      </c>
      <c r="AF141" s="0" t="s">
        <v>900</v>
      </c>
      <c r="AG141" s="0" t="s">
        <v>901</v>
      </c>
      <c r="AH141" s="0" t="s">
        <v>46</v>
      </c>
      <c r="AI141" s="0" t="s">
        <v>46</v>
      </c>
      <c r="AJ141" s="0" t="s">
        <v>46</v>
      </c>
      <c r="AK141" s="0" t="s">
        <v>46</v>
      </c>
      <c r="AL141" s="0" t="s">
        <v>46</v>
      </c>
    </row>
    <row r="142" customFormat="false" ht="15" hidden="false" customHeight="false" outlineLevel="0" collapsed="false">
      <c r="B142" s="0" t="str">
        <f aca="false">HYPERLINK("https://genome.ucsc.edu/cgi-bin/hgTracks?db=hg19&amp;position=chr11%3A125781257%2D125781257", "chr11:125781257")</f>
        <v>chr11:125781257</v>
      </c>
      <c r="C142" s="0" t="s">
        <v>38</v>
      </c>
      <c r="D142" s="0" t="n">
        <v>125781257</v>
      </c>
      <c r="E142" s="0" t="n">
        <v>125781257</v>
      </c>
      <c r="F142" s="0" t="s">
        <v>39</v>
      </c>
      <c r="G142" s="0" t="s">
        <v>40</v>
      </c>
      <c r="H142" s="0" t="s">
        <v>771</v>
      </c>
      <c r="I142" s="0" t="s">
        <v>434</v>
      </c>
      <c r="J142" s="0" t="s">
        <v>435</v>
      </c>
      <c r="K142" s="0" t="s">
        <v>46</v>
      </c>
      <c r="L142" s="0" t="str">
        <f aca="false">HYPERLINK("https://www.ncbi.nlm.nih.gov/snp/rs749449766", "rs749449766")</f>
        <v>rs749449766</v>
      </c>
      <c r="M142" s="0" t="str">
        <f aca="false">HYPERLINK("https://www.genecards.org/Search/Keyword?queryString=%5Baliases%5D(%20DDX25%20)&amp;keywords=DDX25", "DDX25")</f>
        <v>DDX25</v>
      </c>
      <c r="N142" s="0" t="s">
        <v>98</v>
      </c>
      <c r="O142" s="0" t="s">
        <v>99</v>
      </c>
      <c r="P142" s="0" t="s">
        <v>902</v>
      </c>
      <c r="Q142" s="0" t="n">
        <v>1.94E-005</v>
      </c>
      <c r="R142" s="0" t="n">
        <v>-1</v>
      </c>
      <c r="S142" s="0" t="n">
        <v>-1</v>
      </c>
      <c r="T142" s="0" t="n">
        <v>-1</v>
      </c>
      <c r="U142" s="0" t="n">
        <v>-1</v>
      </c>
      <c r="V142" s="0" t="s">
        <v>257</v>
      </c>
      <c r="W142" s="0" t="s">
        <v>46</v>
      </c>
      <c r="X142" s="0" t="s">
        <v>46</v>
      </c>
      <c r="Y142" s="0" t="s">
        <v>46</v>
      </c>
      <c r="Z142" s="0" t="s">
        <v>102</v>
      </c>
      <c r="AA142" s="0" t="s">
        <v>171</v>
      </c>
      <c r="AB142" s="0" t="s">
        <v>46</v>
      </c>
      <c r="AC142" s="0" t="s">
        <v>51</v>
      </c>
      <c r="AD142" s="0" t="s">
        <v>52</v>
      </c>
      <c r="AE142" s="0" t="s">
        <v>903</v>
      </c>
      <c r="AF142" s="0" t="s">
        <v>904</v>
      </c>
      <c r="AG142" s="0" t="s">
        <v>905</v>
      </c>
      <c r="AH142" s="0" t="s">
        <v>46</v>
      </c>
      <c r="AI142" s="0" t="s">
        <v>46</v>
      </c>
      <c r="AJ142" s="0" t="s">
        <v>46</v>
      </c>
      <c r="AK142" s="0" t="s">
        <v>46</v>
      </c>
      <c r="AL142" s="0" t="s">
        <v>46</v>
      </c>
    </row>
    <row r="143" customFormat="false" ht="15" hidden="false" customHeight="false" outlineLevel="0" collapsed="false">
      <c r="B143" s="0" t="str">
        <f aca="false">HYPERLINK("https://genome.ucsc.edu/cgi-bin/hgTracks?db=hg19&amp;position=chr12%3A464412%2D464412", "chr12:464412")</f>
        <v>chr12:464412</v>
      </c>
      <c r="C143" s="0" t="s">
        <v>235</v>
      </c>
      <c r="D143" s="0" t="n">
        <v>464412</v>
      </c>
      <c r="E143" s="0" t="n">
        <v>464412</v>
      </c>
      <c r="F143" s="0" t="s">
        <v>40</v>
      </c>
      <c r="G143" s="0" t="s">
        <v>69</v>
      </c>
      <c r="H143" s="0" t="s">
        <v>906</v>
      </c>
      <c r="I143" s="0" t="s">
        <v>111</v>
      </c>
      <c r="J143" s="0" t="s">
        <v>907</v>
      </c>
      <c r="K143" s="0" t="s">
        <v>46</v>
      </c>
      <c r="L143" s="0" t="s">
        <v>46</v>
      </c>
      <c r="M143" s="0" t="str">
        <f aca="false">HYPERLINK("https://www.genecards.org/Search/Keyword?queryString=%5Baliases%5D(%20KDM5A%20)&amp;keywords=KDM5A", "KDM5A")</f>
        <v>KDM5A</v>
      </c>
      <c r="N143" s="0" t="s">
        <v>98</v>
      </c>
      <c r="O143" s="0" t="s">
        <v>99</v>
      </c>
      <c r="P143" s="0" t="s">
        <v>908</v>
      </c>
      <c r="Q143" s="0" t="n">
        <v>-1</v>
      </c>
      <c r="R143" s="0" t="n">
        <v>-1</v>
      </c>
      <c r="S143" s="0" t="n">
        <v>-1</v>
      </c>
      <c r="T143" s="0" t="n">
        <v>-1</v>
      </c>
      <c r="U143" s="0" t="n">
        <v>-1</v>
      </c>
      <c r="V143" s="0" t="s">
        <v>767</v>
      </c>
      <c r="W143" s="0" t="s">
        <v>46</v>
      </c>
      <c r="X143" s="0" t="s">
        <v>46</v>
      </c>
      <c r="Y143" s="0" t="s">
        <v>46</v>
      </c>
      <c r="Z143" s="0" t="s">
        <v>231</v>
      </c>
      <c r="AA143" s="0" t="s">
        <v>171</v>
      </c>
      <c r="AB143" s="0" t="s">
        <v>46</v>
      </c>
      <c r="AC143" s="0" t="s">
        <v>51</v>
      </c>
      <c r="AD143" s="0" t="s">
        <v>52</v>
      </c>
      <c r="AE143" s="0" t="s">
        <v>909</v>
      </c>
      <c r="AF143" s="0" t="s">
        <v>910</v>
      </c>
      <c r="AG143" s="0" t="s">
        <v>911</v>
      </c>
      <c r="AH143" s="0" t="s">
        <v>46</v>
      </c>
      <c r="AI143" s="0" t="s">
        <v>46</v>
      </c>
      <c r="AJ143" s="0" t="s">
        <v>46</v>
      </c>
      <c r="AK143" s="0" t="s">
        <v>46</v>
      </c>
      <c r="AL143" s="0" t="s">
        <v>46</v>
      </c>
    </row>
    <row r="144" customFormat="false" ht="15" hidden="false" customHeight="false" outlineLevel="0" collapsed="false">
      <c r="B144" s="0" t="str">
        <f aca="false">HYPERLINK("https://genome.ucsc.edu/cgi-bin/hgTracks?db=hg19&amp;position=chr12%3A2936425%2D2936425", "chr12:2936425")</f>
        <v>chr12:2936425</v>
      </c>
      <c r="C144" s="0" t="s">
        <v>235</v>
      </c>
      <c r="D144" s="0" t="n">
        <v>2936425</v>
      </c>
      <c r="E144" s="0" t="n">
        <v>2936425</v>
      </c>
      <c r="F144" s="0" t="s">
        <v>69</v>
      </c>
      <c r="G144" s="0" t="s">
        <v>57</v>
      </c>
      <c r="H144" s="0" t="s">
        <v>912</v>
      </c>
      <c r="I144" s="0" t="s">
        <v>668</v>
      </c>
      <c r="J144" s="0" t="s">
        <v>913</v>
      </c>
      <c r="K144" s="0" t="s">
        <v>46</v>
      </c>
      <c r="L144" s="0" t="str">
        <f aca="false">HYPERLINK("https://www.ncbi.nlm.nih.gov/snp/rs117603123", "rs117603123")</f>
        <v>rs117603123</v>
      </c>
      <c r="M144" s="0" t="str">
        <f aca="false">HYPERLINK("https://www.genecards.org/Search/Keyword?queryString=%5Baliases%5D(%20NRIP2%20)&amp;keywords=NRIP2", "NRIP2")</f>
        <v>NRIP2</v>
      </c>
      <c r="N144" s="0" t="s">
        <v>98</v>
      </c>
      <c r="O144" s="0" t="s">
        <v>99</v>
      </c>
      <c r="P144" s="0" t="s">
        <v>914</v>
      </c>
      <c r="Q144" s="0" t="n">
        <v>0.011494</v>
      </c>
      <c r="R144" s="0" t="n">
        <v>0.0037</v>
      </c>
      <c r="S144" s="0" t="n">
        <v>0.0036</v>
      </c>
      <c r="T144" s="0" t="n">
        <v>-1</v>
      </c>
      <c r="U144" s="0" t="n">
        <v>0.0022</v>
      </c>
      <c r="V144" s="0" t="s">
        <v>314</v>
      </c>
      <c r="W144" s="0" t="s">
        <v>46</v>
      </c>
      <c r="X144" s="0" t="s">
        <v>46</v>
      </c>
      <c r="Y144" s="0" t="s">
        <v>46</v>
      </c>
      <c r="Z144" s="0" t="s">
        <v>159</v>
      </c>
      <c r="AA144" s="0" t="s">
        <v>171</v>
      </c>
      <c r="AB144" s="0" t="s">
        <v>46</v>
      </c>
      <c r="AC144" s="0" t="s">
        <v>51</v>
      </c>
      <c r="AD144" s="0" t="s">
        <v>52</v>
      </c>
      <c r="AE144" s="0" t="s">
        <v>915</v>
      </c>
      <c r="AF144" s="0" t="s">
        <v>916</v>
      </c>
      <c r="AG144" s="0" t="s">
        <v>917</v>
      </c>
      <c r="AH144" s="0" t="s">
        <v>46</v>
      </c>
      <c r="AI144" s="0" t="s">
        <v>46</v>
      </c>
      <c r="AJ144" s="0" t="s">
        <v>46</v>
      </c>
      <c r="AK144" s="0" t="s">
        <v>46</v>
      </c>
      <c r="AL144" s="0" t="s">
        <v>46</v>
      </c>
    </row>
    <row r="145" customFormat="false" ht="15" hidden="false" customHeight="false" outlineLevel="0" collapsed="false">
      <c r="B145" s="0" t="str">
        <f aca="false">HYPERLINK("https://genome.ucsc.edu/cgi-bin/hgTracks?db=hg19&amp;position=chr12%3A3931304%2D3931304", "chr12:3931304")</f>
        <v>chr12:3931304</v>
      </c>
      <c r="C145" s="0" t="s">
        <v>235</v>
      </c>
      <c r="D145" s="0" t="n">
        <v>3931304</v>
      </c>
      <c r="E145" s="0" t="n">
        <v>3931304</v>
      </c>
      <c r="F145" s="0" t="s">
        <v>39</v>
      </c>
      <c r="G145" s="0" t="s">
        <v>40</v>
      </c>
      <c r="H145" s="0" t="s">
        <v>918</v>
      </c>
      <c r="I145" s="0" t="s">
        <v>581</v>
      </c>
      <c r="J145" s="0" t="s">
        <v>919</v>
      </c>
      <c r="K145" s="0" t="s">
        <v>46</v>
      </c>
      <c r="L145" s="0" t="s">
        <v>46</v>
      </c>
      <c r="M145" s="0" t="str">
        <f aca="false">HYPERLINK("https://www.genecards.org/Search/Keyword?queryString=%5Baliases%5D(%20PARP11%20)&amp;keywords=PARP11", "PARP11")</f>
        <v>PARP11</v>
      </c>
      <c r="N145" s="0" t="s">
        <v>98</v>
      </c>
      <c r="O145" s="0" t="s">
        <v>99</v>
      </c>
      <c r="P145" s="0" t="s">
        <v>920</v>
      </c>
      <c r="Q145" s="0" t="n">
        <v>-1</v>
      </c>
      <c r="R145" s="0" t="n">
        <v>-1</v>
      </c>
      <c r="S145" s="0" t="n">
        <v>-1</v>
      </c>
      <c r="T145" s="0" t="n">
        <v>-1</v>
      </c>
      <c r="U145" s="0" t="n">
        <v>-1</v>
      </c>
      <c r="V145" s="0" t="s">
        <v>170</v>
      </c>
      <c r="W145" s="0" t="s">
        <v>46</v>
      </c>
      <c r="X145" s="0" t="s">
        <v>46</v>
      </c>
      <c r="Y145" s="0" t="s">
        <v>46</v>
      </c>
      <c r="Z145" s="0" t="s">
        <v>138</v>
      </c>
      <c r="AA145" s="0" t="s">
        <v>171</v>
      </c>
      <c r="AB145" s="0" t="s">
        <v>46</v>
      </c>
      <c r="AC145" s="0" t="s">
        <v>51</v>
      </c>
      <c r="AD145" s="0" t="s">
        <v>52</v>
      </c>
      <c r="AE145" s="0" t="s">
        <v>921</v>
      </c>
      <c r="AF145" s="0" t="s">
        <v>922</v>
      </c>
      <c r="AG145" s="0" t="s">
        <v>46</v>
      </c>
      <c r="AH145" s="0" t="s">
        <v>46</v>
      </c>
      <c r="AI145" s="0" t="s">
        <v>46</v>
      </c>
      <c r="AJ145" s="0" t="s">
        <v>46</v>
      </c>
      <c r="AK145" s="0" t="s">
        <v>46</v>
      </c>
      <c r="AL145" s="0" t="s">
        <v>46</v>
      </c>
    </row>
    <row r="146" customFormat="false" ht="15" hidden="false" customHeight="false" outlineLevel="0" collapsed="false">
      <c r="B146" s="0" t="str">
        <f aca="false">HYPERLINK("https://genome.ucsc.edu/cgi-bin/hgTracks?db=hg19&amp;position=chr12%3A6436680%2D6436680", "chr12:6436680")</f>
        <v>chr12:6436680</v>
      </c>
      <c r="C146" s="0" t="s">
        <v>235</v>
      </c>
      <c r="D146" s="0" t="n">
        <v>6436680</v>
      </c>
      <c r="E146" s="0" t="n">
        <v>6436680</v>
      </c>
      <c r="F146" s="0" t="s">
        <v>69</v>
      </c>
      <c r="G146" s="0" t="s">
        <v>57</v>
      </c>
      <c r="H146" s="0" t="s">
        <v>923</v>
      </c>
      <c r="I146" s="0" t="s">
        <v>924</v>
      </c>
      <c r="J146" s="0" t="s">
        <v>925</v>
      </c>
      <c r="K146" s="0" t="s">
        <v>46</v>
      </c>
      <c r="L146" s="0" t="str">
        <f aca="false">HYPERLINK("https://www.ncbi.nlm.nih.gov/snp/rs761100925", "rs761100925")</f>
        <v>rs761100925</v>
      </c>
      <c r="M146" s="0" t="str">
        <f aca="false">HYPERLINK("https://www.genecards.org/Search/Keyword?queryString=%5Baliases%5D(%20PLEKHG6%20)&amp;keywords=PLEKHG6", "PLEKHG6")</f>
        <v>PLEKHG6</v>
      </c>
      <c r="N146" s="0" t="s">
        <v>98</v>
      </c>
      <c r="O146" s="0" t="s">
        <v>99</v>
      </c>
      <c r="P146" s="0" t="s">
        <v>926</v>
      </c>
      <c r="Q146" s="0" t="n">
        <v>1.29E-005</v>
      </c>
      <c r="R146" s="0" t="n">
        <v>-1</v>
      </c>
      <c r="S146" s="0" t="n">
        <v>-1</v>
      </c>
      <c r="T146" s="0" t="n">
        <v>-1</v>
      </c>
      <c r="U146" s="0" t="n">
        <v>-1</v>
      </c>
      <c r="V146" s="0" t="s">
        <v>502</v>
      </c>
      <c r="W146" s="0" t="s">
        <v>46</v>
      </c>
      <c r="X146" s="0" t="s">
        <v>46</v>
      </c>
      <c r="Y146" s="0" t="s">
        <v>46</v>
      </c>
      <c r="Z146" s="0" t="s">
        <v>138</v>
      </c>
      <c r="AA146" s="0" t="s">
        <v>171</v>
      </c>
      <c r="AB146" s="0" t="s">
        <v>46</v>
      </c>
      <c r="AC146" s="0" t="s">
        <v>51</v>
      </c>
      <c r="AD146" s="0" t="s">
        <v>52</v>
      </c>
      <c r="AE146" s="0" t="s">
        <v>927</v>
      </c>
      <c r="AF146" s="0" t="s">
        <v>928</v>
      </c>
      <c r="AG146" s="0" t="s">
        <v>929</v>
      </c>
      <c r="AH146" s="0" t="s">
        <v>46</v>
      </c>
      <c r="AI146" s="0" t="s">
        <v>46</v>
      </c>
      <c r="AJ146" s="0" t="s">
        <v>46</v>
      </c>
      <c r="AK146" s="0" t="s">
        <v>46</v>
      </c>
      <c r="AL146" s="0" t="s">
        <v>46</v>
      </c>
    </row>
    <row r="147" customFormat="false" ht="15" hidden="false" customHeight="false" outlineLevel="0" collapsed="false">
      <c r="B147" s="0" t="str">
        <f aca="false">HYPERLINK("https://genome.ucsc.edu/cgi-bin/hgTracks?db=hg19&amp;position=chr12%3A29642561%2D29642561", "chr12:29642561")</f>
        <v>chr12:29642561</v>
      </c>
      <c r="C147" s="0" t="s">
        <v>235</v>
      </c>
      <c r="D147" s="0" t="n">
        <v>29642561</v>
      </c>
      <c r="E147" s="0" t="n">
        <v>29642561</v>
      </c>
      <c r="F147" s="0" t="s">
        <v>39</v>
      </c>
      <c r="G147" s="0" t="s">
        <v>69</v>
      </c>
      <c r="H147" s="0" t="s">
        <v>930</v>
      </c>
      <c r="I147" s="0" t="s">
        <v>348</v>
      </c>
      <c r="J147" s="0" t="s">
        <v>931</v>
      </c>
      <c r="K147" s="0" t="s">
        <v>46</v>
      </c>
      <c r="L147" s="0" t="str">
        <f aca="false">HYPERLINK("https://www.ncbi.nlm.nih.gov/snp/rs150657987", "rs150657987")</f>
        <v>rs150657987</v>
      </c>
      <c r="M147" s="0" t="str">
        <f aca="false">HYPERLINK("https://www.genecards.org/Search/Keyword?queryString=%5Baliases%5D(%20OVCH1%20)&amp;keywords=OVCH1", "OVCH1")</f>
        <v>OVCH1</v>
      </c>
      <c r="N147" s="0" t="s">
        <v>98</v>
      </c>
      <c r="O147" s="0" t="s">
        <v>99</v>
      </c>
      <c r="P147" s="0" t="s">
        <v>932</v>
      </c>
      <c r="Q147" s="0" t="n">
        <v>0.002</v>
      </c>
      <c r="R147" s="0" t="n">
        <v>0.0004</v>
      </c>
      <c r="S147" s="0" t="n">
        <v>0.0002</v>
      </c>
      <c r="T147" s="0" t="n">
        <v>-1</v>
      </c>
      <c r="U147" s="0" t="n">
        <v>0.0004</v>
      </c>
      <c r="V147" s="0" t="s">
        <v>314</v>
      </c>
      <c r="W147" s="0" t="s">
        <v>46</v>
      </c>
      <c r="X147" s="0" t="s">
        <v>46</v>
      </c>
      <c r="Y147" s="0" t="s">
        <v>46</v>
      </c>
      <c r="Z147" s="0" t="s">
        <v>49</v>
      </c>
      <c r="AA147" s="0" t="s">
        <v>171</v>
      </c>
      <c r="AB147" s="0" t="s">
        <v>46</v>
      </c>
      <c r="AC147" s="0" t="s">
        <v>51</v>
      </c>
      <c r="AD147" s="0" t="s">
        <v>52</v>
      </c>
      <c r="AE147" s="0" t="s">
        <v>933</v>
      </c>
      <c r="AF147" s="0" t="s">
        <v>934</v>
      </c>
      <c r="AG147" s="0" t="s">
        <v>46</v>
      </c>
      <c r="AH147" s="0" t="s">
        <v>46</v>
      </c>
      <c r="AI147" s="0" t="s">
        <v>46</v>
      </c>
      <c r="AJ147" s="0" t="s">
        <v>46</v>
      </c>
      <c r="AK147" s="0" t="s">
        <v>46</v>
      </c>
      <c r="AL147" s="0" t="s">
        <v>46</v>
      </c>
    </row>
    <row r="148" customFormat="false" ht="15" hidden="false" customHeight="false" outlineLevel="0" collapsed="false">
      <c r="B148" s="0" t="str">
        <f aca="false">HYPERLINK("https://genome.ucsc.edu/cgi-bin/hgTracks?db=hg19&amp;position=chr12%3A46233255%2D46233255", "chr12:46233255")</f>
        <v>chr12:46233255</v>
      </c>
      <c r="C148" s="0" t="s">
        <v>235</v>
      </c>
      <c r="D148" s="0" t="n">
        <v>46233255</v>
      </c>
      <c r="E148" s="0" t="n">
        <v>46233255</v>
      </c>
      <c r="F148" s="0" t="s">
        <v>39</v>
      </c>
      <c r="G148" s="0" t="s">
        <v>69</v>
      </c>
      <c r="H148" s="0" t="s">
        <v>935</v>
      </c>
      <c r="I148" s="0" t="s">
        <v>413</v>
      </c>
      <c r="J148" s="0" t="s">
        <v>414</v>
      </c>
      <c r="K148" s="0" t="s">
        <v>46</v>
      </c>
      <c r="L148" s="0" t="s">
        <v>46</v>
      </c>
      <c r="M148" s="0" t="str">
        <f aca="false">HYPERLINK("https://www.genecards.org/Search/Keyword?queryString=%5Baliases%5D(%20ARID2%20)&amp;keywords=ARID2", "ARID2")</f>
        <v>ARID2</v>
      </c>
      <c r="N148" s="0" t="s">
        <v>98</v>
      </c>
      <c r="O148" s="0" t="s">
        <v>99</v>
      </c>
      <c r="P148" s="0" t="s">
        <v>936</v>
      </c>
      <c r="Q148" s="0" t="n">
        <v>-1</v>
      </c>
      <c r="R148" s="0" t="n">
        <v>-1</v>
      </c>
      <c r="S148" s="0" t="n">
        <v>-1</v>
      </c>
      <c r="T148" s="0" t="n">
        <v>-1</v>
      </c>
      <c r="U148" s="0" t="n">
        <v>-1</v>
      </c>
      <c r="V148" s="0" t="s">
        <v>502</v>
      </c>
      <c r="W148" s="0" t="s">
        <v>46</v>
      </c>
      <c r="X148" s="0" t="s">
        <v>46</v>
      </c>
      <c r="Y148" s="0" t="s">
        <v>46</v>
      </c>
      <c r="Z148" s="0" t="s">
        <v>183</v>
      </c>
      <c r="AA148" s="0" t="s">
        <v>171</v>
      </c>
      <c r="AB148" s="0" t="s">
        <v>46</v>
      </c>
      <c r="AC148" s="0" t="s">
        <v>51</v>
      </c>
      <c r="AD148" s="0" t="s">
        <v>856</v>
      </c>
      <c r="AE148" s="0" t="s">
        <v>937</v>
      </c>
      <c r="AF148" s="0" t="s">
        <v>938</v>
      </c>
      <c r="AG148" s="0" t="s">
        <v>939</v>
      </c>
      <c r="AH148" s="0" t="s">
        <v>46</v>
      </c>
      <c r="AI148" s="0" t="s">
        <v>46</v>
      </c>
      <c r="AJ148" s="0" t="s">
        <v>46</v>
      </c>
      <c r="AK148" s="0" t="s">
        <v>46</v>
      </c>
      <c r="AL148" s="0" t="s">
        <v>46</v>
      </c>
    </row>
    <row r="149" customFormat="false" ht="15" hidden="false" customHeight="false" outlineLevel="0" collapsed="false">
      <c r="B149" s="0" t="str">
        <f aca="false">HYPERLINK("https://genome.ucsc.edu/cgi-bin/hgTracks?db=hg19&amp;position=chr12%3A54115831%2D54115831", "chr12:54115831")</f>
        <v>chr12:54115831</v>
      </c>
      <c r="C149" s="0" t="s">
        <v>235</v>
      </c>
      <c r="D149" s="0" t="n">
        <v>54115831</v>
      </c>
      <c r="E149" s="0" t="n">
        <v>54115831</v>
      </c>
      <c r="F149" s="0" t="s">
        <v>69</v>
      </c>
      <c r="G149" s="0" t="s">
        <v>57</v>
      </c>
      <c r="H149" s="0" t="s">
        <v>940</v>
      </c>
      <c r="I149" s="0" t="s">
        <v>872</v>
      </c>
      <c r="J149" s="0" t="s">
        <v>941</v>
      </c>
      <c r="K149" s="0" t="s">
        <v>46</v>
      </c>
      <c r="L149" s="0" t="str">
        <f aca="false">HYPERLINK("https://www.ncbi.nlm.nih.gov/snp/rs146731373", "rs146731373")</f>
        <v>rs146731373</v>
      </c>
      <c r="M149" s="0" t="str">
        <f aca="false">HYPERLINK("https://www.genecards.org/Search/Keyword?queryString=%5Baliases%5D(%20CALCOCO1%20)&amp;keywords=CALCOCO1", "CALCOCO1")</f>
        <v>CALCOCO1</v>
      </c>
      <c r="N149" s="0" t="s">
        <v>98</v>
      </c>
      <c r="O149" s="0" t="s">
        <v>99</v>
      </c>
      <c r="P149" s="0" t="s">
        <v>942</v>
      </c>
      <c r="Q149" s="0" t="n">
        <v>0.0011</v>
      </c>
      <c r="R149" s="0" t="n">
        <v>0.0011</v>
      </c>
      <c r="S149" s="0" t="n">
        <v>0.0012</v>
      </c>
      <c r="T149" s="0" t="n">
        <v>-1</v>
      </c>
      <c r="U149" s="0" t="n">
        <v>0.0007</v>
      </c>
      <c r="V149" s="0" t="s">
        <v>215</v>
      </c>
      <c r="W149" s="0" t="s">
        <v>46</v>
      </c>
      <c r="X149" s="0" t="s">
        <v>46</v>
      </c>
      <c r="Y149" s="0" t="s">
        <v>46</v>
      </c>
      <c r="Z149" s="0" t="s">
        <v>49</v>
      </c>
      <c r="AA149" s="0" t="s">
        <v>171</v>
      </c>
      <c r="AB149" s="0" t="s">
        <v>46</v>
      </c>
      <c r="AC149" s="0" t="s">
        <v>51</v>
      </c>
      <c r="AD149" s="0" t="s">
        <v>52</v>
      </c>
      <c r="AE149" s="0" t="s">
        <v>943</v>
      </c>
      <c r="AF149" s="0" t="s">
        <v>944</v>
      </c>
      <c r="AG149" s="0" t="s">
        <v>945</v>
      </c>
      <c r="AH149" s="0" t="s">
        <v>46</v>
      </c>
      <c r="AI149" s="0" t="s">
        <v>46</v>
      </c>
      <c r="AJ149" s="0" t="s">
        <v>46</v>
      </c>
      <c r="AK149" s="0" t="s">
        <v>46</v>
      </c>
      <c r="AL149" s="0" t="s">
        <v>46</v>
      </c>
    </row>
    <row r="150" customFormat="false" ht="15" hidden="false" customHeight="false" outlineLevel="0" collapsed="false">
      <c r="B150" s="0" t="str">
        <f aca="false">HYPERLINK("https://genome.ucsc.edu/cgi-bin/hgTracks?db=hg19&amp;position=chr12%3A56740367%2D56740367", "chr12:56740367")</f>
        <v>chr12:56740367</v>
      </c>
      <c r="C150" s="0" t="s">
        <v>235</v>
      </c>
      <c r="D150" s="0" t="n">
        <v>56740367</v>
      </c>
      <c r="E150" s="0" t="n">
        <v>56740367</v>
      </c>
      <c r="F150" s="0" t="s">
        <v>39</v>
      </c>
      <c r="G150" s="0" t="s">
        <v>57</v>
      </c>
      <c r="H150" s="0" t="s">
        <v>946</v>
      </c>
      <c r="I150" s="0" t="s">
        <v>611</v>
      </c>
      <c r="J150" s="0" t="s">
        <v>947</v>
      </c>
      <c r="K150" s="0" t="s">
        <v>46</v>
      </c>
      <c r="L150" s="0" t="s">
        <v>46</v>
      </c>
      <c r="M150" s="0" t="str">
        <f aca="false">HYPERLINK("https://www.genecards.org/Search/Keyword?queryString=%5Baliases%5D(%20STAT2%20)&amp;keywords=STAT2", "STAT2")</f>
        <v>STAT2</v>
      </c>
      <c r="N150" s="0" t="s">
        <v>98</v>
      </c>
      <c r="O150" s="0" t="s">
        <v>99</v>
      </c>
      <c r="P150" s="0" t="s">
        <v>948</v>
      </c>
      <c r="Q150" s="0" t="n">
        <v>-1</v>
      </c>
      <c r="R150" s="0" t="n">
        <v>-1</v>
      </c>
      <c r="S150" s="0" t="n">
        <v>-1</v>
      </c>
      <c r="T150" s="0" t="n">
        <v>-1</v>
      </c>
      <c r="U150" s="0" t="n">
        <v>-1</v>
      </c>
      <c r="V150" s="0" t="s">
        <v>688</v>
      </c>
      <c r="W150" s="0" t="s">
        <v>46</v>
      </c>
      <c r="X150" s="0" t="s">
        <v>46</v>
      </c>
      <c r="Y150" s="0" t="s">
        <v>46</v>
      </c>
      <c r="Z150" s="0" t="s">
        <v>138</v>
      </c>
      <c r="AA150" s="0" t="s">
        <v>171</v>
      </c>
      <c r="AB150" s="0" t="s">
        <v>46</v>
      </c>
      <c r="AC150" s="0" t="s">
        <v>51</v>
      </c>
      <c r="AD150" s="0" t="s">
        <v>52</v>
      </c>
      <c r="AE150" s="0" t="s">
        <v>949</v>
      </c>
      <c r="AF150" s="0" t="s">
        <v>950</v>
      </c>
      <c r="AG150" s="0" t="s">
        <v>951</v>
      </c>
      <c r="AH150" s="0" t="s">
        <v>46</v>
      </c>
      <c r="AI150" s="0" t="s">
        <v>46</v>
      </c>
      <c r="AJ150" s="0" t="s">
        <v>46</v>
      </c>
      <c r="AK150" s="0" t="s">
        <v>46</v>
      </c>
      <c r="AL150" s="0" t="s">
        <v>46</v>
      </c>
    </row>
    <row r="151" customFormat="false" ht="15" hidden="false" customHeight="false" outlineLevel="0" collapsed="false">
      <c r="B151" s="0" t="str">
        <f aca="false">HYPERLINK("https://genome.ucsc.edu/cgi-bin/hgTracks?db=hg19&amp;position=chr12%3A57921733%2D57921733", "chr12:57921733")</f>
        <v>chr12:57921733</v>
      </c>
      <c r="C151" s="0" t="s">
        <v>235</v>
      </c>
      <c r="D151" s="0" t="n">
        <v>57921733</v>
      </c>
      <c r="E151" s="0" t="n">
        <v>57921733</v>
      </c>
      <c r="F151" s="0" t="s">
        <v>69</v>
      </c>
      <c r="G151" s="0" t="s">
        <v>40</v>
      </c>
      <c r="H151" s="0" t="s">
        <v>952</v>
      </c>
      <c r="I151" s="0" t="s">
        <v>953</v>
      </c>
      <c r="J151" s="0" t="s">
        <v>954</v>
      </c>
      <c r="K151" s="0" t="s">
        <v>46</v>
      </c>
      <c r="L151" s="0" t="str">
        <f aca="false">HYPERLINK("https://www.ncbi.nlm.nih.gov/snp/rs534271749", "rs534271749")</f>
        <v>rs534271749</v>
      </c>
      <c r="M151" s="0" t="str">
        <f aca="false">HYPERLINK("https://www.genecards.org/Search/Keyword?queryString=%5Baliases%5D(%20MBD6%20)&amp;keywords=MBD6", "MBD6")</f>
        <v>MBD6</v>
      </c>
      <c r="N151" s="0" t="s">
        <v>98</v>
      </c>
      <c r="O151" s="0" t="s">
        <v>99</v>
      </c>
      <c r="P151" s="0" t="s">
        <v>955</v>
      </c>
      <c r="Q151" s="0" t="n">
        <v>0.002</v>
      </c>
      <c r="R151" s="0" t="n">
        <v>0.0003</v>
      </c>
      <c r="S151" s="0" t="n">
        <v>0.0001</v>
      </c>
      <c r="T151" s="0" t="n">
        <v>-1</v>
      </c>
      <c r="U151" s="0" t="n">
        <v>0.0002</v>
      </c>
      <c r="V151" s="0" t="s">
        <v>314</v>
      </c>
      <c r="W151" s="0" t="s">
        <v>46</v>
      </c>
      <c r="X151" s="0" t="s">
        <v>46</v>
      </c>
      <c r="Y151" s="0" t="s">
        <v>46</v>
      </c>
      <c r="Z151" s="0" t="s">
        <v>231</v>
      </c>
      <c r="AA151" s="0" t="s">
        <v>171</v>
      </c>
      <c r="AB151" s="0" t="s">
        <v>46</v>
      </c>
      <c r="AC151" s="0" t="s">
        <v>51</v>
      </c>
      <c r="AD151" s="0" t="s">
        <v>52</v>
      </c>
      <c r="AE151" s="0" t="s">
        <v>956</v>
      </c>
      <c r="AF151" s="0" t="s">
        <v>957</v>
      </c>
      <c r="AG151" s="0" t="s">
        <v>958</v>
      </c>
      <c r="AH151" s="0" t="s">
        <v>46</v>
      </c>
      <c r="AI151" s="0" t="s">
        <v>46</v>
      </c>
      <c r="AJ151" s="0" t="s">
        <v>46</v>
      </c>
      <c r="AK151" s="0" t="s">
        <v>46</v>
      </c>
      <c r="AL151" s="0" t="s">
        <v>46</v>
      </c>
    </row>
    <row r="152" customFormat="false" ht="15" hidden="false" customHeight="false" outlineLevel="0" collapsed="false">
      <c r="B152" s="0" t="str">
        <f aca="false">HYPERLINK("https://genome.ucsc.edu/cgi-bin/hgTracks?db=hg19&amp;position=chr12%3A58217698%2D58217698", "chr12:58217698")</f>
        <v>chr12:58217698</v>
      </c>
      <c r="C152" s="0" t="s">
        <v>235</v>
      </c>
      <c r="D152" s="0" t="n">
        <v>58217698</v>
      </c>
      <c r="E152" s="0" t="n">
        <v>58217698</v>
      </c>
      <c r="F152" s="0" t="s">
        <v>69</v>
      </c>
      <c r="G152" s="0" t="s">
        <v>40</v>
      </c>
      <c r="H152" s="0" t="s">
        <v>959</v>
      </c>
      <c r="I152" s="0" t="s">
        <v>779</v>
      </c>
      <c r="J152" s="0" t="s">
        <v>960</v>
      </c>
      <c r="K152" s="0" t="s">
        <v>46</v>
      </c>
      <c r="L152" s="0" t="str">
        <f aca="false">HYPERLINK("https://www.ncbi.nlm.nih.gov/snp/rs796175724", "rs796175724")</f>
        <v>rs796175724</v>
      </c>
      <c r="M152" s="0" t="str">
        <f aca="false">HYPERLINK("https://www.genecards.org/Search/Keyword?queryString=%5Baliases%5D(%20CTDSP2%20)&amp;keywords=CTDSP2", "CTDSP2")</f>
        <v>CTDSP2</v>
      </c>
      <c r="N152" s="0" t="s">
        <v>98</v>
      </c>
      <c r="O152" s="0" t="s">
        <v>99</v>
      </c>
      <c r="P152" s="0" t="s">
        <v>961</v>
      </c>
      <c r="Q152" s="0" t="n">
        <v>6.5E-006</v>
      </c>
      <c r="R152" s="0" t="n">
        <v>-1</v>
      </c>
      <c r="S152" s="0" t="n">
        <v>-1</v>
      </c>
      <c r="T152" s="0" t="n">
        <v>-1</v>
      </c>
      <c r="U152" s="0" t="n">
        <v>-1</v>
      </c>
      <c r="V152" s="0" t="s">
        <v>608</v>
      </c>
      <c r="W152" s="0" t="s">
        <v>46</v>
      </c>
      <c r="X152" s="0" t="s">
        <v>46</v>
      </c>
      <c r="Y152" s="0" t="s">
        <v>46</v>
      </c>
      <c r="Z152" s="0" t="s">
        <v>183</v>
      </c>
      <c r="AA152" s="0" t="s">
        <v>171</v>
      </c>
      <c r="AB152" s="0" t="s">
        <v>46</v>
      </c>
      <c r="AC152" s="0" t="s">
        <v>51</v>
      </c>
      <c r="AD152" s="0" t="s">
        <v>581</v>
      </c>
      <c r="AE152" s="0" t="s">
        <v>962</v>
      </c>
      <c r="AF152" s="0" t="s">
        <v>963</v>
      </c>
      <c r="AG152" s="0" t="s">
        <v>964</v>
      </c>
      <c r="AH152" s="0" t="s">
        <v>46</v>
      </c>
      <c r="AI152" s="0" t="s">
        <v>802</v>
      </c>
      <c r="AJ152" s="0" t="s">
        <v>46</v>
      </c>
      <c r="AK152" s="0" t="s">
        <v>46</v>
      </c>
      <c r="AL152" s="0" t="s">
        <v>46</v>
      </c>
    </row>
    <row r="153" customFormat="false" ht="15" hidden="false" customHeight="false" outlineLevel="0" collapsed="false">
      <c r="B153" s="0" t="str">
        <f aca="false">HYPERLINK("https://genome.ucsc.edu/cgi-bin/hgTracks?db=hg19&amp;position=chr12%3A58217763%2D58217763", "chr12:58217763")</f>
        <v>chr12:58217763</v>
      </c>
      <c r="C153" s="0" t="s">
        <v>235</v>
      </c>
      <c r="D153" s="0" t="n">
        <v>58217763</v>
      </c>
      <c r="E153" s="0" t="n">
        <v>58217763</v>
      </c>
      <c r="F153" s="0" t="s">
        <v>39</v>
      </c>
      <c r="G153" s="0" t="s">
        <v>40</v>
      </c>
      <c r="H153" s="0" t="s">
        <v>965</v>
      </c>
      <c r="I153" s="0" t="s">
        <v>703</v>
      </c>
      <c r="J153" s="0" t="s">
        <v>966</v>
      </c>
      <c r="K153" s="0" t="s">
        <v>46</v>
      </c>
      <c r="L153" s="0" t="str">
        <f aca="false">HYPERLINK("https://www.ncbi.nlm.nih.gov/snp/rs796989809", "rs796989809")</f>
        <v>rs796989809</v>
      </c>
      <c r="M153" s="0" t="str">
        <f aca="false">HYPERLINK("https://www.genecards.org/Search/Keyword?queryString=%5Baliases%5D(%20CTDSP2%20)&amp;keywords=CTDSP2", "CTDSP2")</f>
        <v>CTDSP2</v>
      </c>
      <c r="N153" s="0" t="s">
        <v>98</v>
      </c>
      <c r="O153" s="0" t="s">
        <v>99</v>
      </c>
      <c r="P153" s="0" t="s">
        <v>967</v>
      </c>
      <c r="Q153" s="0" t="n">
        <v>6.489E-005</v>
      </c>
      <c r="R153" s="0" t="n">
        <v>9.029E-005</v>
      </c>
      <c r="S153" s="0" t="n">
        <v>-1</v>
      </c>
      <c r="T153" s="0" t="n">
        <v>-1</v>
      </c>
      <c r="U153" s="0" t="n">
        <v>-1</v>
      </c>
      <c r="V153" s="0" t="s">
        <v>596</v>
      </c>
      <c r="W153" s="0" t="s">
        <v>46</v>
      </c>
      <c r="X153" s="0" t="s">
        <v>46</v>
      </c>
      <c r="Y153" s="0" t="s">
        <v>46</v>
      </c>
      <c r="Z153" s="0" t="s">
        <v>231</v>
      </c>
      <c r="AA153" s="0" t="s">
        <v>171</v>
      </c>
      <c r="AB153" s="0" t="s">
        <v>46</v>
      </c>
      <c r="AC153" s="0" t="s">
        <v>51</v>
      </c>
      <c r="AD153" s="0" t="s">
        <v>581</v>
      </c>
      <c r="AE153" s="0" t="s">
        <v>962</v>
      </c>
      <c r="AF153" s="0" t="s">
        <v>963</v>
      </c>
      <c r="AG153" s="0" t="s">
        <v>964</v>
      </c>
      <c r="AH153" s="0" t="s">
        <v>46</v>
      </c>
      <c r="AI153" s="0" t="s">
        <v>802</v>
      </c>
      <c r="AJ153" s="0" t="s">
        <v>46</v>
      </c>
      <c r="AK153" s="0" t="s">
        <v>46</v>
      </c>
      <c r="AL153" s="0" t="s">
        <v>46</v>
      </c>
    </row>
    <row r="154" customFormat="false" ht="15" hidden="false" customHeight="false" outlineLevel="0" collapsed="false">
      <c r="B154" s="0" t="str">
        <f aca="false">HYPERLINK("https://genome.ucsc.edu/cgi-bin/hgTracks?db=hg19&amp;position=chr12%3A58217774%2D58217774", "chr12:58217774")</f>
        <v>chr12:58217774</v>
      </c>
      <c r="C154" s="0" t="s">
        <v>235</v>
      </c>
      <c r="D154" s="0" t="n">
        <v>58217774</v>
      </c>
      <c r="E154" s="0" t="n">
        <v>58217774</v>
      </c>
      <c r="F154" s="0" t="s">
        <v>39</v>
      </c>
      <c r="G154" s="0" t="s">
        <v>57</v>
      </c>
      <c r="H154" s="0" t="s">
        <v>968</v>
      </c>
      <c r="I154" s="0" t="s">
        <v>969</v>
      </c>
      <c r="J154" s="0" t="s">
        <v>970</v>
      </c>
      <c r="K154" s="0" t="s">
        <v>46</v>
      </c>
      <c r="L154" s="0" t="str">
        <f aca="false">HYPERLINK("https://www.ncbi.nlm.nih.gov/snp/rs113792624", "rs113792624")</f>
        <v>rs113792624</v>
      </c>
      <c r="M154" s="0" t="str">
        <f aca="false">HYPERLINK("https://www.genecards.org/Search/Keyword?queryString=%5Baliases%5D(%20CTDSP2%20)&amp;keywords=CTDSP2", "CTDSP2")</f>
        <v>CTDSP2</v>
      </c>
      <c r="N154" s="0" t="s">
        <v>98</v>
      </c>
      <c r="O154" s="0" t="s">
        <v>99</v>
      </c>
      <c r="P154" s="0" t="s">
        <v>971</v>
      </c>
      <c r="Q154" s="0" t="n">
        <v>1.94E-005</v>
      </c>
      <c r="R154" s="0" t="n">
        <v>-1</v>
      </c>
      <c r="S154" s="0" t="n">
        <v>-1</v>
      </c>
      <c r="T154" s="0" t="n">
        <v>-1</v>
      </c>
      <c r="U154" s="0" t="n">
        <v>-1</v>
      </c>
      <c r="V154" s="0" t="s">
        <v>697</v>
      </c>
      <c r="W154" s="0" t="s">
        <v>46</v>
      </c>
      <c r="X154" s="0" t="s">
        <v>46</v>
      </c>
      <c r="Y154" s="0" t="s">
        <v>46</v>
      </c>
      <c r="Z154" s="0" t="s">
        <v>102</v>
      </c>
      <c r="AA154" s="0" t="s">
        <v>171</v>
      </c>
      <c r="AB154" s="0" t="s">
        <v>46</v>
      </c>
      <c r="AC154" s="0" t="s">
        <v>51</v>
      </c>
      <c r="AD154" s="0" t="s">
        <v>581</v>
      </c>
      <c r="AE154" s="0" t="s">
        <v>962</v>
      </c>
      <c r="AF154" s="0" t="s">
        <v>963</v>
      </c>
      <c r="AG154" s="0" t="s">
        <v>964</v>
      </c>
      <c r="AH154" s="0" t="s">
        <v>46</v>
      </c>
      <c r="AI154" s="0" t="s">
        <v>46</v>
      </c>
      <c r="AJ154" s="0" t="s">
        <v>46</v>
      </c>
      <c r="AK154" s="0" t="s">
        <v>46</v>
      </c>
      <c r="AL154" s="0" t="s">
        <v>46</v>
      </c>
    </row>
    <row r="155" customFormat="false" ht="15" hidden="false" customHeight="false" outlineLevel="0" collapsed="false">
      <c r="B155" s="0" t="str">
        <f aca="false">HYPERLINK("https://genome.ucsc.edu/cgi-bin/hgTracks?db=hg19&amp;position=chr12%3A58220784%2D58220784", "chr12:58220784")</f>
        <v>chr12:58220784</v>
      </c>
      <c r="C155" s="0" t="s">
        <v>235</v>
      </c>
      <c r="D155" s="0" t="n">
        <v>58220784</v>
      </c>
      <c r="E155" s="0" t="n">
        <v>58220784</v>
      </c>
      <c r="F155" s="0" t="s">
        <v>57</v>
      </c>
      <c r="G155" s="0" t="s">
        <v>40</v>
      </c>
      <c r="H155" s="0" t="s">
        <v>972</v>
      </c>
      <c r="I155" s="0" t="s">
        <v>361</v>
      </c>
      <c r="J155" s="0" t="s">
        <v>973</v>
      </c>
      <c r="K155" s="0" t="s">
        <v>46</v>
      </c>
      <c r="L155" s="0" t="str">
        <f aca="false">HYPERLINK("https://www.ncbi.nlm.nih.gov/snp/rs113533986", "rs113533986")</f>
        <v>rs113533986</v>
      </c>
      <c r="M155" s="0" t="str">
        <f aca="false">HYPERLINK("https://www.genecards.org/Search/Keyword?queryString=%5Baliases%5D(%20CTDSP2%20)&amp;keywords=CTDSP2", "CTDSP2")</f>
        <v>CTDSP2</v>
      </c>
      <c r="N155" s="0" t="s">
        <v>98</v>
      </c>
      <c r="O155" s="0" t="s">
        <v>99</v>
      </c>
      <c r="P155" s="0" t="s">
        <v>974</v>
      </c>
      <c r="Q155" s="0" t="n">
        <v>6.5E-006</v>
      </c>
      <c r="R155" s="0" t="n">
        <v>-1</v>
      </c>
      <c r="S155" s="0" t="n">
        <v>-1</v>
      </c>
      <c r="T155" s="0" t="n">
        <v>-1</v>
      </c>
      <c r="U155" s="0" t="n">
        <v>-1</v>
      </c>
      <c r="V155" s="0" t="s">
        <v>697</v>
      </c>
      <c r="W155" s="0" t="s">
        <v>46</v>
      </c>
      <c r="X155" s="0" t="s">
        <v>46</v>
      </c>
      <c r="Y155" s="0" t="s">
        <v>46</v>
      </c>
      <c r="Z155" s="0" t="s">
        <v>183</v>
      </c>
      <c r="AA155" s="0" t="s">
        <v>171</v>
      </c>
      <c r="AB155" s="0" t="s">
        <v>46</v>
      </c>
      <c r="AC155" s="0" t="s">
        <v>51</v>
      </c>
      <c r="AD155" s="0" t="s">
        <v>581</v>
      </c>
      <c r="AE155" s="0" t="s">
        <v>962</v>
      </c>
      <c r="AF155" s="0" t="s">
        <v>963</v>
      </c>
      <c r="AG155" s="0" t="s">
        <v>964</v>
      </c>
      <c r="AH155" s="0" t="s">
        <v>46</v>
      </c>
      <c r="AI155" s="0" t="s">
        <v>802</v>
      </c>
      <c r="AJ155" s="0" t="s">
        <v>46</v>
      </c>
      <c r="AK155" s="0" t="s">
        <v>46</v>
      </c>
      <c r="AL155" s="0" t="s">
        <v>46</v>
      </c>
    </row>
    <row r="156" customFormat="false" ht="15" hidden="false" customHeight="false" outlineLevel="0" collapsed="false">
      <c r="B156" s="0" t="str">
        <f aca="false">HYPERLINK("https://genome.ucsc.edu/cgi-bin/hgTracks?db=hg19&amp;position=chr12%3A58220801%2D58220801", "chr12:58220801")</f>
        <v>chr12:58220801</v>
      </c>
      <c r="C156" s="0" t="s">
        <v>235</v>
      </c>
      <c r="D156" s="0" t="n">
        <v>58220801</v>
      </c>
      <c r="E156" s="0" t="n">
        <v>58220801</v>
      </c>
      <c r="F156" s="0" t="s">
        <v>69</v>
      </c>
      <c r="G156" s="0" t="s">
        <v>40</v>
      </c>
      <c r="H156" s="0" t="s">
        <v>412</v>
      </c>
      <c r="I156" s="0" t="s">
        <v>975</v>
      </c>
      <c r="J156" s="0" t="s">
        <v>976</v>
      </c>
      <c r="K156" s="0" t="s">
        <v>46</v>
      </c>
      <c r="L156" s="0" t="str">
        <f aca="false">HYPERLINK("https://www.ncbi.nlm.nih.gov/snp/rs757239164", "rs757239164")</f>
        <v>rs757239164</v>
      </c>
      <c r="M156" s="0" t="str">
        <f aca="false">HYPERLINK("https://www.genecards.org/Search/Keyword?queryString=%5Baliases%5D(%20CTDSP2%20)&amp;keywords=CTDSP2", "CTDSP2")</f>
        <v>CTDSP2</v>
      </c>
      <c r="N156" s="0" t="s">
        <v>98</v>
      </c>
      <c r="O156" s="0" t="s">
        <v>99</v>
      </c>
      <c r="P156" s="0" t="s">
        <v>977</v>
      </c>
      <c r="Q156" s="0" t="n">
        <v>-1</v>
      </c>
      <c r="R156" s="0" t="n">
        <v>-1</v>
      </c>
      <c r="S156" s="0" t="n">
        <v>-1</v>
      </c>
      <c r="T156" s="0" t="n">
        <v>-1</v>
      </c>
      <c r="U156" s="0" t="n">
        <v>-1</v>
      </c>
      <c r="V156" s="0" t="s">
        <v>697</v>
      </c>
      <c r="W156" s="0" t="s">
        <v>46</v>
      </c>
      <c r="X156" s="0" t="s">
        <v>46</v>
      </c>
      <c r="Y156" s="0" t="s">
        <v>46</v>
      </c>
      <c r="Z156" s="0" t="s">
        <v>183</v>
      </c>
      <c r="AA156" s="0" t="s">
        <v>171</v>
      </c>
      <c r="AB156" s="0" t="s">
        <v>46</v>
      </c>
      <c r="AC156" s="0" t="s">
        <v>51</v>
      </c>
      <c r="AD156" s="0" t="s">
        <v>581</v>
      </c>
      <c r="AE156" s="0" t="s">
        <v>962</v>
      </c>
      <c r="AF156" s="0" t="s">
        <v>963</v>
      </c>
      <c r="AG156" s="0" t="s">
        <v>964</v>
      </c>
      <c r="AH156" s="0" t="s">
        <v>46</v>
      </c>
      <c r="AI156" s="0" t="s">
        <v>46</v>
      </c>
      <c r="AJ156" s="0" t="s">
        <v>46</v>
      </c>
      <c r="AK156" s="0" t="s">
        <v>46</v>
      </c>
      <c r="AL156" s="0" t="s">
        <v>46</v>
      </c>
    </row>
    <row r="157" customFormat="false" ht="15" hidden="false" customHeight="false" outlineLevel="0" collapsed="false">
      <c r="B157" s="0" t="str">
        <f aca="false">HYPERLINK("https://genome.ucsc.edu/cgi-bin/hgTracks?db=hg19&amp;position=chr12%3A58220811%2D58220811", "chr12:58220811")</f>
        <v>chr12:58220811</v>
      </c>
      <c r="C157" s="0" t="s">
        <v>235</v>
      </c>
      <c r="D157" s="0" t="n">
        <v>58220811</v>
      </c>
      <c r="E157" s="0" t="n">
        <v>58220811</v>
      </c>
      <c r="F157" s="0" t="s">
        <v>69</v>
      </c>
      <c r="G157" s="0" t="s">
        <v>40</v>
      </c>
      <c r="H157" s="0" t="s">
        <v>978</v>
      </c>
      <c r="I157" s="0" t="s">
        <v>486</v>
      </c>
      <c r="J157" s="0" t="s">
        <v>979</v>
      </c>
      <c r="K157" s="0" t="s">
        <v>46</v>
      </c>
      <c r="L157" s="0" t="str">
        <f aca="false">HYPERLINK("https://www.ncbi.nlm.nih.gov/snp/rs796375970", "rs796375970")</f>
        <v>rs796375970</v>
      </c>
      <c r="M157" s="0" t="str">
        <f aca="false">HYPERLINK("https://www.genecards.org/Search/Keyword?queryString=%5Baliases%5D(%20CTDSP2%20)&amp;keywords=CTDSP2", "CTDSP2")</f>
        <v>CTDSP2</v>
      </c>
      <c r="N157" s="0" t="s">
        <v>98</v>
      </c>
      <c r="O157" s="0" t="s">
        <v>99</v>
      </c>
      <c r="P157" s="0" t="s">
        <v>980</v>
      </c>
      <c r="Q157" s="0" t="n">
        <v>-1</v>
      </c>
      <c r="R157" s="0" t="n">
        <v>-1</v>
      </c>
      <c r="S157" s="0" t="n">
        <v>-1</v>
      </c>
      <c r="T157" s="0" t="n">
        <v>-1</v>
      </c>
      <c r="U157" s="0" t="n">
        <v>-1</v>
      </c>
      <c r="V157" s="0" t="s">
        <v>697</v>
      </c>
      <c r="W157" s="0" t="s">
        <v>46</v>
      </c>
      <c r="X157" s="0" t="s">
        <v>46</v>
      </c>
      <c r="Y157" s="0" t="s">
        <v>46</v>
      </c>
      <c r="Z157" s="0" t="s">
        <v>138</v>
      </c>
      <c r="AA157" s="0" t="s">
        <v>171</v>
      </c>
      <c r="AB157" s="0" t="s">
        <v>46</v>
      </c>
      <c r="AC157" s="0" t="s">
        <v>51</v>
      </c>
      <c r="AD157" s="0" t="s">
        <v>581</v>
      </c>
      <c r="AE157" s="0" t="s">
        <v>962</v>
      </c>
      <c r="AF157" s="0" t="s">
        <v>963</v>
      </c>
      <c r="AG157" s="0" t="s">
        <v>964</v>
      </c>
      <c r="AH157" s="0" t="s">
        <v>46</v>
      </c>
      <c r="AI157" s="0" t="s">
        <v>46</v>
      </c>
      <c r="AJ157" s="0" t="s">
        <v>46</v>
      </c>
      <c r="AK157" s="0" t="s">
        <v>46</v>
      </c>
      <c r="AL157" s="0" t="s">
        <v>46</v>
      </c>
    </row>
    <row r="158" customFormat="false" ht="15" hidden="false" customHeight="false" outlineLevel="0" collapsed="false">
      <c r="B158" s="0" t="str">
        <f aca="false">HYPERLINK("https://genome.ucsc.edu/cgi-bin/hgTracks?db=hg19&amp;position=chr12%3A58220816%2D58220816", "chr12:58220816")</f>
        <v>chr12:58220816</v>
      </c>
      <c r="C158" s="0" t="s">
        <v>235</v>
      </c>
      <c r="D158" s="0" t="n">
        <v>58220816</v>
      </c>
      <c r="E158" s="0" t="n">
        <v>58220816</v>
      </c>
      <c r="F158" s="0" t="s">
        <v>57</v>
      </c>
      <c r="G158" s="0" t="s">
        <v>69</v>
      </c>
      <c r="H158" s="0" t="s">
        <v>981</v>
      </c>
      <c r="I158" s="0" t="s">
        <v>982</v>
      </c>
      <c r="J158" s="0" t="s">
        <v>983</v>
      </c>
      <c r="K158" s="0" t="s">
        <v>46</v>
      </c>
      <c r="L158" s="0" t="str">
        <f aca="false">HYPERLINK("https://www.ncbi.nlm.nih.gov/snp/rs76940645", "rs76940645")</f>
        <v>rs76940645</v>
      </c>
      <c r="M158" s="0" t="str">
        <f aca="false">HYPERLINK("https://www.genecards.org/Search/Keyword?queryString=%5Baliases%5D(%20CTDSP2%20)&amp;keywords=CTDSP2", "CTDSP2")</f>
        <v>CTDSP2</v>
      </c>
      <c r="N158" s="0" t="s">
        <v>98</v>
      </c>
      <c r="O158" s="0" t="s">
        <v>99</v>
      </c>
      <c r="P158" s="0" t="s">
        <v>984</v>
      </c>
      <c r="Q158" s="0" t="n">
        <v>2.59E-005</v>
      </c>
      <c r="R158" s="0" t="n">
        <v>-1</v>
      </c>
      <c r="S158" s="0" t="n">
        <v>-1</v>
      </c>
      <c r="T158" s="0" t="n">
        <v>-1</v>
      </c>
      <c r="U158" s="0" t="n">
        <v>-1</v>
      </c>
      <c r="V158" s="0" t="s">
        <v>596</v>
      </c>
      <c r="W158" s="0" t="s">
        <v>46</v>
      </c>
      <c r="X158" s="0" t="s">
        <v>46</v>
      </c>
      <c r="Y158" s="0" t="s">
        <v>46</v>
      </c>
      <c r="Z158" s="0" t="s">
        <v>102</v>
      </c>
      <c r="AA158" s="0" t="s">
        <v>171</v>
      </c>
      <c r="AB158" s="0" t="s">
        <v>46</v>
      </c>
      <c r="AC158" s="0" t="s">
        <v>51</v>
      </c>
      <c r="AD158" s="0" t="s">
        <v>581</v>
      </c>
      <c r="AE158" s="0" t="s">
        <v>962</v>
      </c>
      <c r="AF158" s="0" t="s">
        <v>963</v>
      </c>
      <c r="AG158" s="0" t="s">
        <v>964</v>
      </c>
      <c r="AH158" s="0" t="s">
        <v>46</v>
      </c>
      <c r="AI158" s="0" t="s">
        <v>802</v>
      </c>
      <c r="AJ158" s="0" t="s">
        <v>46</v>
      </c>
      <c r="AK158" s="0" t="s">
        <v>46</v>
      </c>
      <c r="AL158" s="0" t="s">
        <v>46</v>
      </c>
    </row>
    <row r="159" customFormat="false" ht="15" hidden="false" customHeight="false" outlineLevel="0" collapsed="false">
      <c r="B159" s="0" t="str">
        <f aca="false">HYPERLINK("https://genome.ucsc.edu/cgi-bin/hgTracks?db=hg19&amp;position=chr12%3A58220819%2D58220819", "chr12:58220819")</f>
        <v>chr12:58220819</v>
      </c>
      <c r="C159" s="0" t="s">
        <v>235</v>
      </c>
      <c r="D159" s="0" t="n">
        <v>58220819</v>
      </c>
      <c r="E159" s="0" t="n">
        <v>58220819</v>
      </c>
      <c r="F159" s="0" t="s">
        <v>57</v>
      </c>
      <c r="G159" s="0" t="s">
        <v>69</v>
      </c>
      <c r="H159" s="0" t="s">
        <v>447</v>
      </c>
      <c r="I159" s="0" t="s">
        <v>982</v>
      </c>
      <c r="J159" s="0" t="s">
        <v>985</v>
      </c>
      <c r="K159" s="0" t="s">
        <v>46</v>
      </c>
      <c r="L159" s="0" t="str">
        <f aca="false">HYPERLINK("https://www.ncbi.nlm.nih.gov/snp/rs1056200123", "rs1056200123")</f>
        <v>rs1056200123</v>
      </c>
      <c r="M159" s="0" t="str">
        <f aca="false">HYPERLINK("https://www.genecards.org/Search/Keyword?queryString=%5Baliases%5D(%20CTDSP2%20)&amp;keywords=CTDSP2", "CTDSP2")</f>
        <v>CTDSP2</v>
      </c>
      <c r="N159" s="0" t="s">
        <v>98</v>
      </c>
      <c r="O159" s="0" t="s">
        <v>99</v>
      </c>
      <c r="P159" s="0" t="s">
        <v>986</v>
      </c>
      <c r="Q159" s="0" t="n">
        <v>-1</v>
      </c>
      <c r="R159" s="0" t="n">
        <v>-1</v>
      </c>
      <c r="S159" s="0" t="n">
        <v>-1</v>
      </c>
      <c r="T159" s="0" t="n">
        <v>-1</v>
      </c>
      <c r="U159" s="0" t="n">
        <v>-1</v>
      </c>
      <c r="V159" s="0" t="s">
        <v>596</v>
      </c>
      <c r="W159" s="0" t="s">
        <v>46</v>
      </c>
      <c r="X159" s="0" t="s">
        <v>46</v>
      </c>
      <c r="Y159" s="0" t="s">
        <v>46</v>
      </c>
      <c r="Z159" s="0" t="s">
        <v>102</v>
      </c>
      <c r="AA159" s="0" t="s">
        <v>171</v>
      </c>
      <c r="AB159" s="0" t="s">
        <v>46</v>
      </c>
      <c r="AC159" s="0" t="s">
        <v>51</v>
      </c>
      <c r="AD159" s="0" t="s">
        <v>581</v>
      </c>
      <c r="AE159" s="0" t="s">
        <v>962</v>
      </c>
      <c r="AF159" s="0" t="s">
        <v>963</v>
      </c>
      <c r="AG159" s="0" t="s">
        <v>964</v>
      </c>
      <c r="AH159" s="0" t="s">
        <v>46</v>
      </c>
      <c r="AI159" s="0" t="s">
        <v>46</v>
      </c>
      <c r="AJ159" s="0" t="s">
        <v>46</v>
      </c>
      <c r="AK159" s="0" t="s">
        <v>46</v>
      </c>
      <c r="AL159" s="0" t="s">
        <v>46</v>
      </c>
    </row>
    <row r="160" customFormat="false" ht="15" hidden="false" customHeight="false" outlineLevel="0" collapsed="false">
      <c r="B160" s="0" t="str">
        <f aca="false">HYPERLINK("https://genome.ucsc.edu/cgi-bin/hgTracks?db=hg19&amp;position=chr12%3A58220823%2D58220823", "chr12:58220823")</f>
        <v>chr12:58220823</v>
      </c>
      <c r="C160" s="0" t="s">
        <v>235</v>
      </c>
      <c r="D160" s="0" t="n">
        <v>58220823</v>
      </c>
      <c r="E160" s="0" t="n">
        <v>58220823</v>
      </c>
      <c r="F160" s="0" t="s">
        <v>39</v>
      </c>
      <c r="G160" s="0" t="s">
        <v>40</v>
      </c>
      <c r="H160" s="0" t="s">
        <v>987</v>
      </c>
      <c r="I160" s="0" t="s">
        <v>982</v>
      </c>
      <c r="J160" s="0" t="s">
        <v>983</v>
      </c>
      <c r="K160" s="0" t="s">
        <v>46</v>
      </c>
      <c r="L160" s="0" t="str">
        <f aca="false">HYPERLINK("https://www.ncbi.nlm.nih.gov/snp/rs111346934", "rs111346934")</f>
        <v>rs111346934</v>
      </c>
      <c r="M160" s="0" t="str">
        <f aca="false">HYPERLINK("https://www.genecards.org/Search/Keyword?queryString=%5Baliases%5D(%20CTDSP2%20)&amp;keywords=CTDSP2", "CTDSP2")</f>
        <v>CTDSP2</v>
      </c>
      <c r="N160" s="0" t="s">
        <v>98</v>
      </c>
      <c r="O160" s="0" t="s">
        <v>99</v>
      </c>
      <c r="P160" s="0" t="s">
        <v>988</v>
      </c>
      <c r="Q160" s="0" t="n">
        <v>2.59E-005</v>
      </c>
      <c r="R160" s="0" t="n">
        <v>-1</v>
      </c>
      <c r="S160" s="0" t="n">
        <v>-1</v>
      </c>
      <c r="T160" s="0" t="n">
        <v>-1</v>
      </c>
      <c r="U160" s="0" t="n">
        <v>-1</v>
      </c>
      <c r="V160" s="0" t="s">
        <v>600</v>
      </c>
      <c r="W160" s="0" t="s">
        <v>46</v>
      </c>
      <c r="X160" s="0" t="s">
        <v>46</v>
      </c>
      <c r="Y160" s="0" t="s">
        <v>46</v>
      </c>
      <c r="Z160" s="0" t="s">
        <v>159</v>
      </c>
      <c r="AA160" s="0" t="s">
        <v>171</v>
      </c>
      <c r="AB160" s="0" t="s">
        <v>46</v>
      </c>
      <c r="AC160" s="0" t="s">
        <v>51</v>
      </c>
      <c r="AD160" s="0" t="s">
        <v>581</v>
      </c>
      <c r="AE160" s="0" t="s">
        <v>962</v>
      </c>
      <c r="AF160" s="0" t="s">
        <v>963</v>
      </c>
      <c r="AG160" s="0" t="s">
        <v>964</v>
      </c>
      <c r="AH160" s="0" t="s">
        <v>46</v>
      </c>
      <c r="AI160" s="0" t="s">
        <v>46</v>
      </c>
      <c r="AJ160" s="0" t="s">
        <v>46</v>
      </c>
      <c r="AK160" s="0" t="s">
        <v>46</v>
      </c>
      <c r="AL160" s="0" t="s">
        <v>46</v>
      </c>
    </row>
    <row r="161" customFormat="false" ht="15" hidden="false" customHeight="false" outlineLevel="0" collapsed="false">
      <c r="B161" s="0" t="str">
        <f aca="false">HYPERLINK("https://genome.ucsc.edu/cgi-bin/hgTracks?db=hg19&amp;position=chr12%3A58220831%2D58220831", "chr12:58220831")</f>
        <v>chr12:58220831</v>
      </c>
      <c r="C161" s="0" t="s">
        <v>235</v>
      </c>
      <c r="D161" s="0" t="n">
        <v>58220831</v>
      </c>
      <c r="E161" s="0" t="n">
        <v>58220831</v>
      </c>
      <c r="F161" s="0" t="s">
        <v>39</v>
      </c>
      <c r="G161" s="0" t="s">
        <v>69</v>
      </c>
      <c r="H161" s="0" t="s">
        <v>989</v>
      </c>
      <c r="I161" s="0" t="s">
        <v>611</v>
      </c>
      <c r="J161" s="0" t="s">
        <v>990</v>
      </c>
      <c r="K161" s="0" t="s">
        <v>46</v>
      </c>
      <c r="L161" s="0" t="str">
        <f aca="false">HYPERLINK("https://www.ncbi.nlm.nih.gov/snp/rs747149135", "rs747149135")</f>
        <v>rs747149135</v>
      </c>
      <c r="M161" s="0" t="str">
        <f aca="false">HYPERLINK("https://www.genecards.org/Search/Keyword?queryString=%5Baliases%5D(%20CTDSP2%20)&amp;keywords=CTDSP2", "CTDSP2")</f>
        <v>CTDSP2</v>
      </c>
      <c r="N161" s="0" t="s">
        <v>98</v>
      </c>
      <c r="O161" s="0" t="s">
        <v>99</v>
      </c>
      <c r="P161" s="0" t="s">
        <v>991</v>
      </c>
      <c r="Q161" s="0" t="n">
        <v>-1</v>
      </c>
      <c r="R161" s="0" t="n">
        <v>-1</v>
      </c>
      <c r="S161" s="0" t="n">
        <v>-1</v>
      </c>
      <c r="T161" s="0" t="n">
        <v>-1</v>
      </c>
      <c r="U161" s="0" t="n">
        <v>-1</v>
      </c>
      <c r="V161" s="0" t="s">
        <v>596</v>
      </c>
      <c r="W161" s="0" t="s">
        <v>46</v>
      </c>
      <c r="X161" s="0" t="s">
        <v>46</v>
      </c>
      <c r="Y161" s="0" t="s">
        <v>46</v>
      </c>
      <c r="Z161" s="0" t="s">
        <v>159</v>
      </c>
      <c r="AA161" s="0" t="s">
        <v>171</v>
      </c>
      <c r="AB161" s="0" t="s">
        <v>46</v>
      </c>
      <c r="AC161" s="0" t="s">
        <v>51</v>
      </c>
      <c r="AD161" s="0" t="s">
        <v>581</v>
      </c>
      <c r="AE161" s="0" t="s">
        <v>962</v>
      </c>
      <c r="AF161" s="0" t="s">
        <v>963</v>
      </c>
      <c r="AG161" s="0" t="s">
        <v>964</v>
      </c>
      <c r="AH161" s="0" t="s">
        <v>46</v>
      </c>
      <c r="AI161" s="0" t="s">
        <v>46</v>
      </c>
      <c r="AJ161" s="0" t="s">
        <v>46</v>
      </c>
      <c r="AK161" s="0" t="s">
        <v>46</v>
      </c>
      <c r="AL161" s="0" t="s">
        <v>46</v>
      </c>
    </row>
    <row r="162" customFormat="false" ht="15" hidden="false" customHeight="false" outlineLevel="0" collapsed="false">
      <c r="B162" s="0" t="str">
        <f aca="false">HYPERLINK("https://genome.ucsc.edu/cgi-bin/hgTracks?db=hg19&amp;position=chr12%3A58220841%2D58220841", "chr12:58220841")</f>
        <v>chr12:58220841</v>
      </c>
      <c r="C162" s="0" t="s">
        <v>235</v>
      </c>
      <c r="D162" s="0" t="n">
        <v>58220841</v>
      </c>
      <c r="E162" s="0" t="n">
        <v>58220841</v>
      </c>
      <c r="F162" s="0" t="s">
        <v>39</v>
      </c>
      <c r="G162" s="0" t="s">
        <v>40</v>
      </c>
      <c r="H162" s="0" t="s">
        <v>992</v>
      </c>
      <c r="I162" s="0" t="s">
        <v>273</v>
      </c>
      <c r="J162" s="0" t="s">
        <v>993</v>
      </c>
      <c r="K162" s="0" t="s">
        <v>46</v>
      </c>
      <c r="L162" s="0" t="str">
        <f aca="false">HYPERLINK("https://www.ncbi.nlm.nih.gov/snp/rs74343811", "rs74343811")</f>
        <v>rs74343811</v>
      </c>
      <c r="M162" s="0" t="str">
        <f aca="false">HYPERLINK("https://www.genecards.org/Search/Keyword?queryString=%5Baliases%5D(%20CTDSP2%20)&amp;keywords=CTDSP2", "CTDSP2")</f>
        <v>CTDSP2</v>
      </c>
      <c r="N162" s="0" t="s">
        <v>98</v>
      </c>
      <c r="O162" s="0" t="s">
        <v>99</v>
      </c>
      <c r="P162" s="0" t="s">
        <v>994</v>
      </c>
      <c r="Q162" s="0" t="n">
        <v>3.23E-005</v>
      </c>
      <c r="R162" s="0" t="n">
        <v>-1</v>
      </c>
      <c r="S162" s="0" t="n">
        <v>-1</v>
      </c>
      <c r="T162" s="0" t="n">
        <v>-1</v>
      </c>
      <c r="U162" s="0" t="n">
        <v>-1</v>
      </c>
      <c r="V162" s="0" t="s">
        <v>767</v>
      </c>
      <c r="W162" s="0" t="s">
        <v>46</v>
      </c>
      <c r="X162" s="0" t="s">
        <v>46</v>
      </c>
      <c r="Y162" s="0" t="s">
        <v>46</v>
      </c>
      <c r="Z162" s="0" t="s">
        <v>102</v>
      </c>
      <c r="AA162" s="0" t="s">
        <v>171</v>
      </c>
      <c r="AB162" s="0" t="s">
        <v>46</v>
      </c>
      <c r="AC162" s="0" t="s">
        <v>51</v>
      </c>
      <c r="AD162" s="0" t="s">
        <v>581</v>
      </c>
      <c r="AE162" s="0" t="s">
        <v>962</v>
      </c>
      <c r="AF162" s="0" t="s">
        <v>963</v>
      </c>
      <c r="AG162" s="0" t="s">
        <v>964</v>
      </c>
      <c r="AH162" s="0" t="s">
        <v>46</v>
      </c>
      <c r="AI162" s="0" t="s">
        <v>802</v>
      </c>
      <c r="AJ162" s="0" t="s">
        <v>46</v>
      </c>
      <c r="AK162" s="0" t="s">
        <v>46</v>
      </c>
      <c r="AL162" s="0" t="s">
        <v>46</v>
      </c>
    </row>
    <row r="163" customFormat="false" ht="15" hidden="false" customHeight="false" outlineLevel="0" collapsed="false">
      <c r="B163" s="0" t="str">
        <f aca="false">HYPERLINK("https://genome.ucsc.edu/cgi-bin/hgTracks?db=hg19&amp;position=chr12%3A58220844%2D58220844", "chr12:58220844")</f>
        <v>chr12:58220844</v>
      </c>
      <c r="C163" s="0" t="s">
        <v>235</v>
      </c>
      <c r="D163" s="0" t="n">
        <v>58220844</v>
      </c>
      <c r="E163" s="0" t="n">
        <v>58220844</v>
      </c>
      <c r="F163" s="0" t="s">
        <v>39</v>
      </c>
      <c r="G163" s="0" t="s">
        <v>40</v>
      </c>
      <c r="H163" s="0" t="s">
        <v>992</v>
      </c>
      <c r="I163" s="0" t="s">
        <v>273</v>
      </c>
      <c r="J163" s="0" t="s">
        <v>993</v>
      </c>
      <c r="K163" s="0" t="s">
        <v>46</v>
      </c>
      <c r="L163" s="0" t="str">
        <f aca="false">HYPERLINK("https://www.ncbi.nlm.nih.gov/snp/rs75591888", "rs75591888")</f>
        <v>rs75591888</v>
      </c>
      <c r="M163" s="0" t="str">
        <f aca="false">HYPERLINK("https://www.genecards.org/Search/Keyword?queryString=%5Baliases%5D(%20CTDSP2%20)&amp;keywords=CTDSP2", "CTDSP2")</f>
        <v>CTDSP2</v>
      </c>
      <c r="N163" s="0" t="s">
        <v>98</v>
      </c>
      <c r="O163" s="0" t="s">
        <v>99</v>
      </c>
      <c r="P163" s="0" t="s">
        <v>995</v>
      </c>
      <c r="Q163" s="0" t="n">
        <v>3.88E-005</v>
      </c>
      <c r="R163" s="0" t="n">
        <v>-1</v>
      </c>
      <c r="S163" s="0" t="n">
        <v>-1</v>
      </c>
      <c r="T163" s="0" t="n">
        <v>-1</v>
      </c>
      <c r="U163" s="0" t="n">
        <v>-1</v>
      </c>
      <c r="V163" s="0" t="s">
        <v>600</v>
      </c>
      <c r="W163" s="0" t="s">
        <v>46</v>
      </c>
      <c r="X163" s="0" t="s">
        <v>46</v>
      </c>
      <c r="Y163" s="0" t="s">
        <v>46</v>
      </c>
      <c r="Z163" s="0" t="s">
        <v>138</v>
      </c>
      <c r="AA163" s="0" t="s">
        <v>171</v>
      </c>
      <c r="AB163" s="0" t="s">
        <v>46</v>
      </c>
      <c r="AC163" s="0" t="s">
        <v>51</v>
      </c>
      <c r="AD163" s="0" t="s">
        <v>581</v>
      </c>
      <c r="AE163" s="0" t="s">
        <v>962</v>
      </c>
      <c r="AF163" s="0" t="s">
        <v>963</v>
      </c>
      <c r="AG163" s="0" t="s">
        <v>964</v>
      </c>
      <c r="AH163" s="0" t="s">
        <v>46</v>
      </c>
      <c r="AI163" s="0" t="s">
        <v>802</v>
      </c>
      <c r="AJ163" s="0" t="s">
        <v>46</v>
      </c>
      <c r="AK163" s="0" t="s">
        <v>46</v>
      </c>
      <c r="AL163" s="0" t="s">
        <v>46</v>
      </c>
    </row>
    <row r="164" customFormat="false" ht="15" hidden="false" customHeight="false" outlineLevel="0" collapsed="false">
      <c r="B164" s="0" t="str">
        <f aca="false">HYPERLINK("https://genome.ucsc.edu/cgi-bin/hgTracks?db=hg19&amp;position=chr12%3A58221336%2D58221336", "chr12:58221336")</f>
        <v>chr12:58221336</v>
      </c>
      <c r="C164" s="0" t="s">
        <v>235</v>
      </c>
      <c r="D164" s="0" t="n">
        <v>58221336</v>
      </c>
      <c r="E164" s="0" t="n">
        <v>58221336</v>
      </c>
      <c r="F164" s="0" t="s">
        <v>40</v>
      </c>
      <c r="G164" s="0" t="s">
        <v>39</v>
      </c>
      <c r="H164" s="0" t="s">
        <v>841</v>
      </c>
      <c r="I164" s="0" t="s">
        <v>996</v>
      </c>
      <c r="J164" s="0" t="s">
        <v>997</v>
      </c>
      <c r="K164" s="0" t="s">
        <v>46</v>
      </c>
      <c r="L164" s="0" t="s">
        <v>46</v>
      </c>
      <c r="M164" s="0" t="str">
        <f aca="false">HYPERLINK("https://www.genecards.org/Search/Keyword?queryString=%5Baliases%5D(%20CTDSP2%20)&amp;keywords=CTDSP2", "CTDSP2")</f>
        <v>CTDSP2</v>
      </c>
      <c r="N164" s="0" t="s">
        <v>98</v>
      </c>
      <c r="O164" s="0" t="s">
        <v>99</v>
      </c>
      <c r="P164" s="0" t="s">
        <v>998</v>
      </c>
      <c r="Q164" s="0" t="n">
        <v>-1</v>
      </c>
      <c r="R164" s="0" t="n">
        <v>-1</v>
      </c>
      <c r="S164" s="0" t="n">
        <v>-1</v>
      </c>
      <c r="T164" s="0" t="n">
        <v>-1</v>
      </c>
      <c r="U164" s="0" t="n">
        <v>-1</v>
      </c>
      <c r="V164" s="0" t="s">
        <v>688</v>
      </c>
      <c r="W164" s="0" t="s">
        <v>999</v>
      </c>
      <c r="X164" s="0" t="s">
        <v>46</v>
      </c>
      <c r="Y164" s="0" t="s">
        <v>46</v>
      </c>
      <c r="Z164" s="0" t="s">
        <v>138</v>
      </c>
      <c r="AA164" s="0" t="s">
        <v>171</v>
      </c>
      <c r="AB164" s="0" t="s">
        <v>46</v>
      </c>
      <c r="AC164" s="0" t="s">
        <v>51</v>
      </c>
      <c r="AD164" s="0" t="s">
        <v>581</v>
      </c>
      <c r="AE164" s="0" t="s">
        <v>962</v>
      </c>
      <c r="AF164" s="0" t="s">
        <v>963</v>
      </c>
      <c r="AG164" s="0" t="s">
        <v>964</v>
      </c>
      <c r="AH164" s="0" t="s">
        <v>46</v>
      </c>
      <c r="AI164" s="0" t="s">
        <v>46</v>
      </c>
      <c r="AJ164" s="0" t="s">
        <v>46</v>
      </c>
      <c r="AK164" s="0" t="s">
        <v>46</v>
      </c>
      <c r="AL164" s="0" t="s">
        <v>46</v>
      </c>
    </row>
    <row r="165" customFormat="false" ht="15" hidden="false" customHeight="false" outlineLevel="0" collapsed="false">
      <c r="B165" s="0" t="str">
        <f aca="false">HYPERLINK("https://genome.ucsc.edu/cgi-bin/hgTracks?db=hg19&amp;position=chr12%3A70953369%2D70953369", "chr12:70953369")</f>
        <v>chr12:70953369</v>
      </c>
      <c r="C165" s="0" t="s">
        <v>235</v>
      </c>
      <c r="D165" s="0" t="n">
        <v>70953369</v>
      </c>
      <c r="E165" s="0" t="n">
        <v>70953369</v>
      </c>
      <c r="F165" s="0" t="s">
        <v>40</v>
      </c>
      <c r="G165" s="0" t="s">
        <v>69</v>
      </c>
      <c r="H165" s="0" t="s">
        <v>1000</v>
      </c>
      <c r="I165" s="0" t="s">
        <v>320</v>
      </c>
      <c r="J165" s="0" t="s">
        <v>1001</v>
      </c>
      <c r="K165" s="0" t="s">
        <v>46</v>
      </c>
      <c r="L165" s="0" t="str">
        <f aca="false">HYPERLINK("https://www.ncbi.nlm.nih.gov/snp/rs113791087", "rs113791087")</f>
        <v>rs113791087</v>
      </c>
      <c r="M165" s="0" t="str">
        <f aca="false">HYPERLINK("https://www.genecards.org/Search/Keyword?queryString=%5Baliases%5D(%20PTPRB%20)&amp;keywords=PTPRB", "PTPRB")</f>
        <v>PTPRB</v>
      </c>
      <c r="N165" s="0" t="s">
        <v>98</v>
      </c>
      <c r="O165" s="0" t="s">
        <v>99</v>
      </c>
      <c r="P165" s="0" t="s">
        <v>1002</v>
      </c>
      <c r="Q165" s="0" t="n">
        <v>0.0103</v>
      </c>
      <c r="R165" s="0" t="n">
        <v>0.0025</v>
      </c>
      <c r="S165" s="0" t="n">
        <v>0.0036</v>
      </c>
      <c r="T165" s="0" t="n">
        <v>-1</v>
      </c>
      <c r="U165" s="0" t="n">
        <v>0.0081</v>
      </c>
      <c r="V165" s="0" t="s">
        <v>215</v>
      </c>
      <c r="W165" s="0" t="s">
        <v>46</v>
      </c>
      <c r="X165" s="0" t="s">
        <v>46</v>
      </c>
      <c r="Y165" s="0" t="s">
        <v>46</v>
      </c>
      <c r="Z165" s="0" t="s">
        <v>138</v>
      </c>
      <c r="AA165" s="0" t="s">
        <v>171</v>
      </c>
      <c r="AB165" s="0" t="s">
        <v>46</v>
      </c>
      <c r="AC165" s="0" t="s">
        <v>51</v>
      </c>
      <c r="AD165" s="0" t="s">
        <v>52</v>
      </c>
      <c r="AE165" s="0" t="s">
        <v>1003</v>
      </c>
      <c r="AF165" s="0" t="s">
        <v>1004</v>
      </c>
      <c r="AG165" s="0" t="s">
        <v>1005</v>
      </c>
      <c r="AH165" s="0" t="s">
        <v>46</v>
      </c>
      <c r="AI165" s="0" t="s">
        <v>46</v>
      </c>
      <c r="AJ165" s="0" t="s">
        <v>46</v>
      </c>
      <c r="AK165" s="0" t="s">
        <v>46</v>
      </c>
      <c r="AL165" s="0" t="s">
        <v>46</v>
      </c>
    </row>
    <row r="166" customFormat="false" ht="15" hidden="false" customHeight="false" outlineLevel="0" collapsed="false">
      <c r="B166" s="0" t="str">
        <f aca="false">HYPERLINK("https://genome.ucsc.edu/cgi-bin/hgTracks?db=hg19&amp;position=chr12%3A77439823%2D77439823", "chr12:77439823")</f>
        <v>chr12:77439823</v>
      </c>
      <c r="C166" s="0" t="s">
        <v>235</v>
      </c>
      <c r="D166" s="0" t="n">
        <v>77439823</v>
      </c>
      <c r="E166" s="0" t="n">
        <v>77439823</v>
      </c>
      <c r="F166" s="0" t="s">
        <v>69</v>
      </c>
      <c r="G166" s="0" t="s">
        <v>39</v>
      </c>
      <c r="H166" s="0" t="s">
        <v>1006</v>
      </c>
      <c r="I166" s="0" t="s">
        <v>547</v>
      </c>
      <c r="J166" s="0" t="s">
        <v>1007</v>
      </c>
      <c r="K166" s="0" t="s">
        <v>46</v>
      </c>
      <c r="L166" s="0" t="str">
        <f aca="false">HYPERLINK("https://www.ncbi.nlm.nih.gov/snp/rs61754233", "rs61754233")</f>
        <v>rs61754233</v>
      </c>
      <c r="M166" s="0" t="str">
        <f aca="false">HYPERLINK("https://www.genecards.org/Search/Keyword?queryString=%5Baliases%5D(%20E2F7%20)&amp;keywords=E2F7", "E2F7")</f>
        <v>E2F7</v>
      </c>
      <c r="N166" s="0" t="s">
        <v>98</v>
      </c>
      <c r="O166" s="0" t="s">
        <v>99</v>
      </c>
      <c r="P166" s="0" t="s">
        <v>1008</v>
      </c>
      <c r="Q166" s="0" t="n">
        <v>0.022727</v>
      </c>
      <c r="R166" s="0" t="n">
        <v>0.0188</v>
      </c>
      <c r="S166" s="0" t="n">
        <v>0.0203</v>
      </c>
      <c r="T166" s="0" t="n">
        <v>-1</v>
      </c>
      <c r="U166" s="0" t="n">
        <v>0.0185</v>
      </c>
      <c r="V166" s="0" t="s">
        <v>158</v>
      </c>
      <c r="W166" s="0" t="s">
        <v>46</v>
      </c>
      <c r="X166" s="0" t="s">
        <v>46</v>
      </c>
      <c r="Y166" s="0" t="s">
        <v>46</v>
      </c>
      <c r="Z166" s="0" t="s">
        <v>231</v>
      </c>
      <c r="AA166" s="0" t="s">
        <v>171</v>
      </c>
      <c r="AB166" s="0" t="s">
        <v>46</v>
      </c>
      <c r="AC166" s="0" t="s">
        <v>51</v>
      </c>
      <c r="AD166" s="0" t="s">
        <v>52</v>
      </c>
      <c r="AE166" s="0" t="s">
        <v>1009</v>
      </c>
      <c r="AF166" s="0" t="s">
        <v>1010</v>
      </c>
      <c r="AG166" s="0" t="s">
        <v>1011</v>
      </c>
      <c r="AH166" s="0" t="s">
        <v>46</v>
      </c>
      <c r="AI166" s="0" t="s">
        <v>46</v>
      </c>
      <c r="AJ166" s="0" t="s">
        <v>46</v>
      </c>
      <c r="AK166" s="0" t="s">
        <v>46</v>
      </c>
      <c r="AL166" s="0" t="s">
        <v>46</v>
      </c>
    </row>
    <row r="167" customFormat="false" ht="15" hidden="false" customHeight="false" outlineLevel="0" collapsed="false">
      <c r="B167" s="0" t="str">
        <f aca="false">HYPERLINK("https://genome.ucsc.edu/cgi-bin/hgTracks?db=hg19&amp;position=chr12%3A93172922%2D93172922", "chr12:93172922")</f>
        <v>chr12:93172922</v>
      </c>
      <c r="C167" s="0" t="s">
        <v>235</v>
      </c>
      <c r="D167" s="0" t="n">
        <v>93172922</v>
      </c>
      <c r="E167" s="0" t="n">
        <v>93172922</v>
      </c>
      <c r="F167" s="0" t="s">
        <v>40</v>
      </c>
      <c r="G167" s="0" t="s">
        <v>39</v>
      </c>
      <c r="H167" s="0" t="s">
        <v>512</v>
      </c>
      <c r="I167" s="0" t="s">
        <v>559</v>
      </c>
      <c r="J167" s="0" t="s">
        <v>1012</v>
      </c>
      <c r="K167" s="0" t="s">
        <v>46</v>
      </c>
      <c r="L167" s="0" t="str">
        <f aca="false">HYPERLINK("https://www.ncbi.nlm.nih.gov/snp/rs766810157", "rs766810157")</f>
        <v>rs766810157</v>
      </c>
      <c r="M167" s="0" t="str">
        <f aca="false">HYPERLINK("https://www.genecards.org/Search/Keyword?queryString=%5Baliases%5D(%20EEA1%20)&amp;keywords=EEA1", "EEA1")</f>
        <v>EEA1</v>
      </c>
      <c r="N167" s="0" t="s">
        <v>98</v>
      </c>
      <c r="O167" s="0" t="s">
        <v>99</v>
      </c>
      <c r="P167" s="0" t="s">
        <v>1013</v>
      </c>
      <c r="Q167" s="0" t="n">
        <v>6.5E-006</v>
      </c>
      <c r="R167" s="0" t="n">
        <v>-1</v>
      </c>
      <c r="S167" s="0" t="n">
        <v>-1</v>
      </c>
      <c r="T167" s="0" t="n">
        <v>-1</v>
      </c>
      <c r="U167" s="0" t="n">
        <v>-1</v>
      </c>
      <c r="V167" s="0" t="s">
        <v>502</v>
      </c>
      <c r="W167" s="0" t="s">
        <v>46</v>
      </c>
      <c r="X167" s="0" t="s">
        <v>46</v>
      </c>
      <c r="Y167" s="0" t="s">
        <v>46</v>
      </c>
      <c r="Z167" s="0" t="s">
        <v>231</v>
      </c>
      <c r="AA167" s="0" t="s">
        <v>171</v>
      </c>
      <c r="AB167" s="0" t="s">
        <v>46</v>
      </c>
      <c r="AC167" s="0" t="s">
        <v>51</v>
      </c>
      <c r="AD167" s="0" t="s">
        <v>52</v>
      </c>
      <c r="AE167" s="0" t="s">
        <v>1014</v>
      </c>
      <c r="AF167" s="0" t="s">
        <v>1015</v>
      </c>
      <c r="AG167" s="0" t="s">
        <v>1016</v>
      </c>
      <c r="AH167" s="0" t="s">
        <v>46</v>
      </c>
      <c r="AI167" s="0" t="s">
        <v>46</v>
      </c>
      <c r="AJ167" s="0" t="s">
        <v>46</v>
      </c>
      <c r="AK167" s="0" t="s">
        <v>46</v>
      </c>
      <c r="AL167" s="0" t="s">
        <v>46</v>
      </c>
    </row>
    <row r="168" customFormat="false" ht="15" hidden="false" customHeight="false" outlineLevel="0" collapsed="false">
      <c r="B168" s="0" t="str">
        <f aca="false">HYPERLINK("https://genome.ucsc.edu/cgi-bin/hgTracks?db=hg19&amp;position=chr12%3A104131427%2D104131427", "chr12:104131427")</f>
        <v>chr12:104131427</v>
      </c>
      <c r="C168" s="0" t="s">
        <v>235</v>
      </c>
      <c r="D168" s="0" t="n">
        <v>104131427</v>
      </c>
      <c r="E168" s="0" t="n">
        <v>104131427</v>
      </c>
      <c r="F168" s="0" t="s">
        <v>57</v>
      </c>
      <c r="G168" s="0" t="s">
        <v>39</v>
      </c>
      <c r="H168" s="0" t="s">
        <v>347</v>
      </c>
      <c r="I168" s="0" t="s">
        <v>361</v>
      </c>
      <c r="J168" s="0" t="s">
        <v>1017</v>
      </c>
      <c r="K168" s="0" t="s">
        <v>46</v>
      </c>
      <c r="L168" s="0" t="str">
        <f aca="false">HYPERLINK("https://www.ncbi.nlm.nih.gov/snp/rs149242623", "rs149242623")</f>
        <v>rs149242623</v>
      </c>
      <c r="M168" s="0" t="str">
        <f aca="false">HYPERLINK("https://www.genecards.org/Search/Keyword?queryString=%5Baliases%5D(%20STAB2%20)&amp;keywords=STAB2", "STAB2")</f>
        <v>STAB2</v>
      </c>
      <c r="N168" s="0" t="s">
        <v>98</v>
      </c>
      <c r="O168" s="0" t="s">
        <v>99</v>
      </c>
      <c r="P168" s="0" t="s">
        <v>1018</v>
      </c>
      <c r="Q168" s="0" t="n">
        <v>0.0213</v>
      </c>
      <c r="R168" s="0" t="n">
        <v>0.0018</v>
      </c>
      <c r="S168" s="0" t="n">
        <v>0.0014</v>
      </c>
      <c r="T168" s="0" t="n">
        <v>-1</v>
      </c>
      <c r="U168" s="0" t="n">
        <v>0.0031</v>
      </c>
      <c r="V168" s="0" t="s">
        <v>137</v>
      </c>
      <c r="W168" s="0" t="s">
        <v>46</v>
      </c>
      <c r="X168" s="0" t="s">
        <v>46</v>
      </c>
      <c r="Y168" s="0" t="s">
        <v>46</v>
      </c>
      <c r="Z168" s="0" t="s">
        <v>102</v>
      </c>
      <c r="AA168" s="0" t="s">
        <v>171</v>
      </c>
      <c r="AB168" s="0" t="s">
        <v>46</v>
      </c>
      <c r="AC168" s="0" t="s">
        <v>51</v>
      </c>
      <c r="AD168" s="0" t="s">
        <v>52</v>
      </c>
      <c r="AE168" s="0" t="s">
        <v>1019</v>
      </c>
      <c r="AF168" s="0" t="s">
        <v>1020</v>
      </c>
      <c r="AG168" s="0" t="s">
        <v>1021</v>
      </c>
      <c r="AH168" s="0" t="s">
        <v>46</v>
      </c>
      <c r="AI168" s="0" t="s">
        <v>46</v>
      </c>
      <c r="AJ168" s="0" t="s">
        <v>46</v>
      </c>
      <c r="AK168" s="0" t="s">
        <v>46</v>
      </c>
      <c r="AL168" s="0" t="s">
        <v>46</v>
      </c>
    </row>
    <row r="169" customFormat="false" ht="15" hidden="false" customHeight="false" outlineLevel="0" collapsed="false">
      <c r="B169" s="0" t="str">
        <f aca="false">HYPERLINK("https://genome.ucsc.edu/cgi-bin/hgTracks?db=hg19&amp;position=chr12%3A110468465%2D110468465", "chr12:110468465")</f>
        <v>chr12:110468465</v>
      </c>
      <c r="C169" s="0" t="s">
        <v>235</v>
      </c>
      <c r="D169" s="0" t="n">
        <v>110468465</v>
      </c>
      <c r="E169" s="0" t="n">
        <v>110468465</v>
      </c>
      <c r="F169" s="0" t="s">
        <v>57</v>
      </c>
      <c r="G169" s="0" t="s">
        <v>69</v>
      </c>
      <c r="H169" s="0" t="s">
        <v>412</v>
      </c>
      <c r="I169" s="0" t="s">
        <v>413</v>
      </c>
      <c r="J169" s="0" t="s">
        <v>414</v>
      </c>
      <c r="K169" s="0" t="s">
        <v>46</v>
      </c>
      <c r="L169" s="0" t="s">
        <v>46</v>
      </c>
      <c r="M169" s="0" t="str">
        <f aca="false">HYPERLINK("https://www.genecards.org/Search/Keyword?queryString=%5Baliases%5D(%20ANKRD13A%20)&amp;keywords=ANKRD13A", "ANKRD13A")</f>
        <v>ANKRD13A</v>
      </c>
      <c r="N169" s="0" t="s">
        <v>98</v>
      </c>
      <c r="O169" s="0" t="s">
        <v>99</v>
      </c>
      <c r="P169" s="0" t="s">
        <v>1022</v>
      </c>
      <c r="Q169" s="0" t="n">
        <v>-1</v>
      </c>
      <c r="R169" s="0" t="n">
        <v>-1</v>
      </c>
      <c r="S169" s="0" t="n">
        <v>-1</v>
      </c>
      <c r="T169" s="0" t="n">
        <v>-1</v>
      </c>
      <c r="U169" s="0" t="n">
        <v>-1</v>
      </c>
      <c r="V169" s="0" t="s">
        <v>596</v>
      </c>
      <c r="W169" s="0" t="s">
        <v>46</v>
      </c>
      <c r="X169" s="0" t="s">
        <v>46</v>
      </c>
      <c r="Y169" s="0" t="s">
        <v>46</v>
      </c>
      <c r="Z169" s="0" t="s">
        <v>240</v>
      </c>
      <c r="AA169" s="0" t="s">
        <v>171</v>
      </c>
      <c r="AB169" s="0" t="s">
        <v>46</v>
      </c>
      <c r="AC169" s="0" t="s">
        <v>51</v>
      </c>
      <c r="AD169" s="0" t="s">
        <v>52</v>
      </c>
      <c r="AE169" s="0" t="s">
        <v>1023</v>
      </c>
      <c r="AF169" s="0" t="s">
        <v>1024</v>
      </c>
      <c r="AG169" s="0" t="s">
        <v>1025</v>
      </c>
      <c r="AH169" s="0" t="s">
        <v>46</v>
      </c>
      <c r="AI169" s="0" t="s">
        <v>46</v>
      </c>
      <c r="AJ169" s="0" t="s">
        <v>46</v>
      </c>
      <c r="AK169" s="0" t="s">
        <v>46</v>
      </c>
      <c r="AL169" s="0" t="s">
        <v>46</v>
      </c>
    </row>
    <row r="170" customFormat="false" ht="15" hidden="false" customHeight="false" outlineLevel="0" collapsed="false">
      <c r="B170" s="0" t="str">
        <f aca="false">HYPERLINK("https://genome.ucsc.edu/cgi-bin/hgTracks?db=hg19&amp;position=chr12%3A121093911%2D121093911", "chr12:121093911")</f>
        <v>chr12:121093911</v>
      </c>
      <c r="C170" s="0" t="s">
        <v>235</v>
      </c>
      <c r="D170" s="0" t="n">
        <v>121093911</v>
      </c>
      <c r="E170" s="0" t="n">
        <v>121093911</v>
      </c>
      <c r="F170" s="0" t="s">
        <v>39</v>
      </c>
      <c r="G170" s="0" t="s">
        <v>69</v>
      </c>
      <c r="H170" s="0" t="s">
        <v>58</v>
      </c>
      <c r="I170" s="0" t="s">
        <v>953</v>
      </c>
      <c r="J170" s="0" t="s">
        <v>954</v>
      </c>
      <c r="K170" s="0" t="s">
        <v>46</v>
      </c>
      <c r="L170" s="0" t="str">
        <f aca="false">HYPERLINK("https://www.ncbi.nlm.nih.gov/snp/rs144243264", "rs144243264")</f>
        <v>rs144243264</v>
      </c>
      <c r="M170" s="0" t="str">
        <f aca="false">HYPERLINK("https://www.genecards.org/Search/Keyword?queryString=%5Baliases%5D(%20CABP1%20)&amp;keywords=CABP1", "CABP1")</f>
        <v>CABP1</v>
      </c>
      <c r="N170" s="0" t="s">
        <v>98</v>
      </c>
      <c r="O170" s="0" t="s">
        <v>99</v>
      </c>
      <c r="P170" s="0" t="s">
        <v>1026</v>
      </c>
      <c r="Q170" s="0" t="n">
        <v>0.006</v>
      </c>
      <c r="R170" s="0" t="n">
        <v>0.0045</v>
      </c>
      <c r="S170" s="0" t="n">
        <v>0.0035</v>
      </c>
      <c r="T170" s="0" t="n">
        <v>-1</v>
      </c>
      <c r="U170" s="0" t="n">
        <v>0.0067</v>
      </c>
      <c r="V170" s="0" t="s">
        <v>1027</v>
      </c>
      <c r="W170" s="0" t="s">
        <v>46</v>
      </c>
      <c r="X170" s="0" t="s">
        <v>46</v>
      </c>
      <c r="Y170" s="0" t="s">
        <v>46</v>
      </c>
      <c r="Z170" s="0" t="s">
        <v>138</v>
      </c>
      <c r="AA170" s="0" t="s">
        <v>171</v>
      </c>
      <c r="AB170" s="0" t="s">
        <v>46</v>
      </c>
      <c r="AC170" s="0" t="s">
        <v>51</v>
      </c>
      <c r="AD170" s="0" t="s">
        <v>52</v>
      </c>
      <c r="AE170" s="0" t="s">
        <v>1028</v>
      </c>
      <c r="AF170" s="0" t="s">
        <v>1029</v>
      </c>
      <c r="AG170" s="0" t="s">
        <v>1030</v>
      </c>
      <c r="AH170" s="0" t="s">
        <v>46</v>
      </c>
      <c r="AI170" s="0" t="s">
        <v>46</v>
      </c>
      <c r="AJ170" s="0" t="s">
        <v>46</v>
      </c>
      <c r="AK170" s="0" t="s">
        <v>46</v>
      </c>
      <c r="AL170" s="0" t="s">
        <v>46</v>
      </c>
    </row>
    <row r="171" customFormat="false" ht="15" hidden="false" customHeight="false" outlineLevel="0" collapsed="false">
      <c r="B171" s="0" t="str">
        <f aca="false">HYPERLINK("https://genome.ucsc.edu/cgi-bin/hgTracks?db=hg19&amp;position=chr12%3A123434340%2D123434340", "chr12:123434340")</f>
        <v>chr12:123434340</v>
      </c>
      <c r="C171" s="0" t="s">
        <v>235</v>
      </c>
      <c r="D171" s="0" t="n">
        <v>123434340</v>
      </c>
      <c r="E171" s="0" t="n">
        <v>123434340</v>
      </c>
      <c r="F171" s="0" t="s">
        <v>39</v>
      </c>
      <c r="G171" s="0" t="s">
        <v>40</v>
      </c>
      <c r="H171" s="0" t="s">
        <v>1031</v>
      </c>
      <c r="I171" s="0" t="s">
        <v>1032</v>
      </c>
      <c r="J171" s="0" t="s">
        <v>1033</v>
      </c>
      <c r="K171" s="0" t="s">
        <v>46</v>
      </c>
      <c r="L171" s="0" t="str">
        <f aca="false">HYPERLINK("https://www.ncbi.nlm.nih.gov/snp/rs759792704", "rs759792704")</f>
        <v>rs759792704</v>
      </c>
      <c r="M171" s="0" t="str">
        <f aca="false">HYPERLINK("https://www.genecards.org/Search/Keyword?queryString=%5Baliases%5D(%20ABCB9%20)&amp;keywords=ABCB9", "ABCB9")</f>
        <v>ABCB9</v>
      </c>
      <c r="N171" s="0" t="s">
        <v>98</v>
      </c>
      <c r="O171" s="0" t="s">
        <v>99</v>
      </c>
      <c r="P171" s="0" t="s">
        <v>1034</v>
      </c>
      <c r="Q171" s="0" t="n">
        <v>0.0002</v>
      </c>
      <c r="R171" s="0" t="n">
        <v>0.0002</v>
      </c>
      <c r="S171" s="0" t="n">
        <v>0.0001</v>
      </c>
      <c r="T171" s="0" t="n">
        <v>-1</v>
      </c>
      <c r="U171" s="0" t="n">
        <v>0.0002</v>
      </c>
      <c r="V171" s="0" t="s">
        <v>194</v>
      </c>
      <c r="W171" s="0" t="s">
        <v>46</v>
      </c>
      <c r="X171" s="0" t="s">
        <v>46</v>
      </c>
      <c r="Y171" s="0" t="s">
        <v>46</v>
      </c>
      <c r="Z171" s="0" t="s">
        <v>231</v>
      </c>
      <c r="AA171" s="0" t="s">
        <v>171</v>
      </c>
      <c r="AB171" s="0" t="s">
        <v>46</v>
      </c>
      <c r="AC171" s="0" t="s">
        <v>51</v>
      </c>
      <c r="AD171" s="0" t="s">
        <v>52</v>
      </c>
      <c r="AE171" s="0" t="s">
        <v>1035</v>
      </c>
      <c r="AF171" s="0" t="s">
        <v>1036</v>
      </c>
      <c r="AG171" s="0" t="s">
        <v>1037</v>
      </c>
      <c r="AH171" s="0" t="s">
        <v>46</v>
      </c>
      <c r="AI171" s="0" t="s">
        <v>46</v>
      </c>
      <c r="AJ171" s="0" t="s">
        <v>46</v>
      </c>
      <c r="AK171" s="0" t="s">
        <v>46</v>
      </c>
      <c r="AL171" s="0" t="s">
        <v>46</v>
      </c>
    </row>
    <row r="172" customFormat="false" ht="15" hidden="false" customHeight="false" outlineLevel="0" collapsed="false">
      <c r="B172" s="0" t="str">
        <f aca="false">HYPERLINK("https://genome.ucsc.edu/cgi-bin/hgTracks?db=hg19&amp;position=chr12%3A123879666%2D123879666", "chr12:123879666")</f>
        <v>chr12:123879666</v>
      </c>
      <c r="C172" s="0" t="s">
        <v>235</v>
      </c>
      <c r="D172" s="0" t="n">
        <v>123879666</v>
      </c>
      <c r="E172" s="0" t="n">
        <v>123879666</v>
      </c>
      <c r="F172" s="0" t="s">
        <v>57</v>
      </c>
      <c r="G172" s="0" t="s">
        <v>69</v>
      </c>
      <c r="H172" s="0" t="s">
        <v>1038</v>
      </c>
      <c r="I172" s="0" t="s">
        <v>1039</v>
      </c>
      <c r="J172" s="0" t="s">
        <v>1040</v>
      </c>
      <c r="K172" s="0" t="s">
        <v>46</v>
      </c>
      <c r="L172" s="0" t="str">
        <f aca="false">HYPERLINK("https://www.ncbi.nlm.nih.gov/snp/rs61955119", "rs61955119")</f>
        <v>rs61955119</v>
      </c>
      <c r="M172" s="0" t="str">
        <f aca="false">HYPERLINK("https://www.genecards.org/Search/Keyword?queryString=%5Baliases%5D(%20KMT5A%20)%20OR%20%5Baliases%5D(%20SETD8%20)&amp;keywords=KMT5A,SETD8", "KMT5A;SETD8")</f>
        <v>KMT5A;SETD8</v>
      </c>
      <c r="N172" s="0" t="s">
        <v>98</v>
      </c>
      <c r="O172" s="0" t="s">
        <v>99</v>
      </c>
      <c r="P172" s="0" t="s">
        <v>1041</v>
      </c>
      <c r="Q172" s="0" t="n">
        <v>0.0005821</v>
      </c>
      <c r="R172" s="0" t="n">
        <v>-1</v>
      </c>
      <c r="S172" s="0" t="n">
        <v>-1</v>
      </c>
      <c r="T172" s="0" t="n">
        <v>-1</v>
      </c>
      <c r="U172" s="0" t="n">
        <v>-1</v>
      </c>
      <c r="V172" s="0" t="s">
        <v>170</v>
      </c>
      <c r="W172" s="0" t="s">
        <v>46</v>
      </c>
      <c r="X172" s="0" t="s">
        <v>46</v>
      </c>
      <c r="Y172" s="0" t="s">
        <v>46</v>
      </c>
      <c r="Z172" s="0" t="s">
        <v>231</v>
      </c>
      <c r="AA172" s="0" t="s">
        <v>171</v>
      </c>
      <c r="AB172" s="0" t="s">
        <v>46</v>
      </c>
      <c r="AC172" s="0" t="s">
        <v>51</v>
      </c>
      <c r="AD172" s="0" t="s">
        <v>1042</v>
      </c>
      <c r="AE172" s="0" t="s">
        <v>46</v>
      </c>
      <c r="AF172" s="0" t="s">
        <v>1043</v>
      </c>
      <c r="AG172" s="0" t="s">
        <v>1044</v>
      </c>
      <c r="AH172" s="0" t="s">
        <v>46</v>
      </c>
      <c r="AI172" s="0" t="s">
        <v>46</v>
      </c>
      <c r="AJ172" s="0" t="s">
        <v>46</v>
      </c>
      <c r="AK172" s="0" t="s">
        <v>46</v>
      </c>
      <c r="AL172" s="0" t="s">
        <v>46</v>
      </c>
    </row>
    <row r="173" customFormat="false" ht="15" hidden="false" customHeight="false" outlineLevel="0" collapsed="false">
      <c r="B173" s="0" t="str">
        <f aca="false">HYPERLINK("https://genome.ucsc.edu/cgi-bin/hgTracks?db=hg19&amp;position=chr12%3A123879668%2D123879668", "chr12:123879668")</f>
        <v>chr12:123879668</v>
      </c>
      <c r="C173" s="0" t="s">
        <v>235</v>
      </c>
      <c r="D173" s="0" t="n">
        <v>123879668</v>
      </c>
      <c r="E173" s="0" t="n">
        <v>123879668</v>
      </c>
      <c r="F173" s="0" t="s">
        <v>69</v>
      </c>
      <c r="G173" s="0" t="s">
        <v>39</v>
      </c>
      <c r="H173" s="0" t="s">
        <v>1038</v>
      </c>
      <c r="I173" s="0" t="s">
        <v>1039</v>
      </c>
      <c r="J173" s="0" t="s">
        <v>1040</v>
      </c>
      <c r="K173" s="0" t="s">
        <v>46</v>
      </c>
      <c r="L173" s="0" t="str">
        <f aca="false">HYPERLINK("https://www.ncbi.nlm.nih.gov/snp/rs61955120", "rs61955120")</f>
        <v>rs61955120</v>
      </c>
      <c r="M173" s="0" t="str">
        <f aca="false">HYPERLINK("https://www.genecards.org/Search/Keyword?queryString=%5Baliases%5D(%20KMT5A%20)%20OR%20%5Baliases%5D(%20SETD8%20)&amp;keywords=KMT5A,SETD8", "KMT5A;SETD8")</f>
        <v>KMT5A;SETD8</v>
      </c>
      <c r="N173" s="0" t="s">
        <v>98</v>
      </c>
      <c r="O173" s="0" t="s">
        <v>99</v>
      </c>
      <c r="P173" s="0" t="s">
        <v>1045</v>
      </c>
      <c r="Q173" s="0" t="n">
        <v>0.0006339</v>
      </c>
      <c r="R173" s="0" t="n">
        <v>-1</v>
      </c>
      <c r="S173" s="0" t="n">
        <v>-1</v>
      </c>
      <c r="T173" s="0" t="n">
        <v>-1</v>
      </c>
      <c r="U173" s="0" t="n">
        <v>-1</v>
      </c>
      <c r="V173" s="0" t="s">
        <v>230</v>
      </c>
      <c r="W173" s="0" t="s">
        <v>46</v>
      </c>
      <c r="X173" s="0" t="s">
        <v>46</v>
      </c>
      <c r="Y173" s="0" t="s">
        <v>46</v>
      </c>
      <c r="Z173" s="0" t="s">
        <v>102</v>
      </c>
      <c r="AA173" s="0" t="s">
        <v>171</v>
      </c>
      <c r="AB173" s="0" t="s">
        <v>46</v>
      </c>
      <c r="AC173" s="0" t="s">
        <v>51</v>
      </c>
      <c r="AD173" s="0" t="s">
        <v>1042</v>
      </c>
      <c r="AE173" s="0" t="s">
        <v>46</v>
      </c>
      <c r="AF173" s="0" t="s">
        <v>1043</v>
      </c>
      <c r="AG173" s="0" t="s">
        <v>1044</v>
      </c>
      <c r="AH173" s="0" t="s">
        <v>46</v>
      </c>
      <c r="AI173" s="0" t="s">
        <v>46</v>
      </c>
      <c r="AJ173" s="0" t="s">
        <v>46</v>
      </c>
      <c r="AK173" s="0" t="s">
        <v>46</v>
      </c>
      <c r="AL173" s="0" t="s">
        <v>46</v>
      </c>
    </row>
    <row r="174" customFormat="false" ht="15" hidden="false" customHeight="false" outlineLevel="0" collapsed="false">
      <c r="B174" s="0" t="str">
        <f aca="false">HYPERLINK("https://genome.ucsc.edu/cgi-bin/hgTracks?db=hg19&amp;position=chr12%3A123892095%2D123892095", "chr12:123892095")</f>
        <v>chr12:123892095</v>
      </c>
      <c r="C174" s="0" t="s">
        <v>235</v>
      </c>
      <c r="D174" s="0" t="n">
        <v>123892095</v>
      </c>
      <c r="E174" s="0" t="n">
        <v>123892095</v>
      </c>
      <c r="F174" s="0" t="s">
        <v>40</v>
      </c>
      <c r="G174" s="0" t="s">
        <v>39</v>
      </c>
      <c r="H174" s="0" t="s">
        <v>1046</v>
      </c>
      <c r="I174" s="0" t="s">
        <v>638</v>
      </c>
      <c r="J174" s="0" t="s">
        <v>1047</v>
      </c>
      <c r="K174" s="0" t="s">
        <v>46</v>
      </c>
      <c r="L174" s="0" t="str">
        <f aca="false">HYPERLINK("https://www.ncbi.nlm.nih.gov/snp/rs61955126", "rs61955126")</f>
        <v>rs61955126</v>
      </c>
      <c r="M174" s="0" t="str">
        <f aca="false">HYPERLINK("https://www.genecards.org/Search/Keyword?queryString=%5Baliases%5D(%20KMT5A%20)%20OR%20%5Baliases%5D(%20SETD8%20)&amp;keywords=KMT5A,SETD8", "KMT5A;SETD8")</f>
        <v>KMT5A;SETD8</v>
      </c>
      <c r="N174" s="0" t="s">
        <v>98</v>
      </c>
      <c r="O174" s="0" t="s">
        <v>99</v>
      </c>
      <c r="P174" s="0" t="s">
        <v>1048</v>
      </c>
      <c r="Q174" s="0" t="n">
        <v>0.0116816</v>
      </c>
      <c r="R174" s="0" t="n">
        <v>-1</v>
      </c>
      <c r="S174" s="0" t="n">
        <v>-1</v>
      </c>
      <c r="T174" s="0" t="n">
        <v>-1</v>
      </c>
      <c r="U174" s="0" t="n">
        <v>-1</v>
      </c>
      <c r="V174" s="0" t="s">
        <v>257</v>
      </c>
      <c r="W174" s="0" t="s">
        <v>46</v>
      </c>
      <c r="X174" s="0" t="s">
        <v>46</v>
      </c>
      <c r="Y174" s="0" t="s">
        <v>46</v>
      </c>
      <c r="Z174" s="0" t="s">
        <v>183</v>
      </c>
      <c r="AA174" s="0" t="s">
        <v>171</v>
      </c>
      <c r="AB174" s="0" t="s">
        <v>46</v>
      </c>
      <c r="AC174" s="0" t="s">
        <v>51</v>
      </c>
      <c r="AD174" s="0" t="s">
        <v>1042</v>
      </c>
      <c r="AE174" s="0" t="s">
        <v>46</v>
      </c>
      <c r="AF174" s="0" t="s">
        <v>1043</v>
      </c>
      <c r="AG174" s="0" t="s">
        <v>1044</v>
      </c>
      <c r="AH174" s="0" t="s">
        <v>46</v>
      </c>
      <c r="AI174" s="0" t="s">
        <v>46</v>
      </c>
      <c r="AJ174" s="0" t="s">
        <v>46</v>
      </c>
      <c r="AK174" s="0" t="s">
        <v>46</v>
      </c>
      <c r="AL174" s="0" t="s">
        <v>584</v>
      </c>
    </row>
    <row r="175" customFormat="false" ht="15" hidden="false" customHeight="false" outlineLevel="0" collapsed="false">
      <c r="B175" s="0" t="str">
        <f aca="false">HYPERLINK("https://genome.ucsc.edu/cgi-bin/hgTracks?db=hg19&amp;position=chr12%3A123892186%2D123892186", "chr12:123892186")</f>
        <v>chr12:123892186</v>
      </c>
      <c r="C175" s="0" t="s">
        <v>235</v>
      </c>
      <c r="D175" s="0" t="n">
        <v>123892186</v>
      </c>
      <c r="E175" s="0" t="n">
        <v>123892186</v>
      </c>
      <c r="F175" s="0" t="s">
        <v>40</v>
      </c>
      <c r="G175" s="0" t="s">
        <v>39</v>
      </c>
      <c r="H175" s="0" t="s">
        <v>1049</v>
      </c>
      <c r="I175" s="0" t="s">
        <v>624</v>
      </c>
      <c r="J175" s="0" t="s">
        <v>1050</v>
      </c>
      <c r="K175" s="0" t="s">
        <v>46</v>
      </c>
      <c r="L175" s="0" t="str">
        <f aca="false">HYPERLINK("https://www.ncbi.nlm.nih.gov/snp/rs61955127", "rs61955127")</f>
        <v>rs61955127</v>
      </c>
      <c r="M175" s="0" t="str">
        <f aca="false">HYPERLINK("https://www.genecards.org/Search/Keyword?queryString=%5Baliases%5D(%20KMT5A%20)%20OR%20%5Baliases%5D(%20SETD8%20)&amp;keywords=KMT5A,SETD8", "KMT5A;SETD8")</f>
        <v>KMT5A;SETD8</v>
      </c>
      <c r="N175" s="0" t="s">
        <v>98</v>
      </c>
      <c r="O175" s="0" t="s">
        <v>99</v>
      </c>
      <c r="P175" s="0" t="s">
        <v>1051</v>
      </c>
      <c r="Q175" s="0" t="n">
        <v>0.0112676</v>
      </c>
      <c r="R175" s="0" t="n">
        <v>-1</v>
      </c>
      <c r="S175" s="0" t="n">
        <v>-1</v>
      </c>
      <c r="T175" s="0" t="n">
        <v>-1</v>
      </c>
      <c r="U175" s="0" t="n">
        <v>-1</v>
      </c>
      <c r="V175" s="0" t="s">
        <v>182</v>
      </c>
      <c r="W175" s="0" t="s">
        <v>46</v>
      </c>
      <c r="X175" s="0" t="s">
        <v>46</v>
      </c>
      <c r="Y175" s="0" t="s">
        <v>46</v>
      </c>
      <c r="Z175" s="0" t="s">
        <v>183</v>
      </c>
      <c r="AA175" s="0" t="s">
        <v>171</v>
      </c>
      <c r="AB175" s="0" t="s">
        <v>46</v>
      </c>
      <c r="AC175" s="0" t="s">
        <v>51</v>
      </c>
      <c r="AD175" s="0" t="s">
        <v>1042</v>
      </c>
      <c r="AE175" s="0" t="s">
        <v>46</v>
      </c>
      <c r="AF175" s="0" t="s">
        <v>1043</v>
      </c>
      <c r="AG175" s="0" t="s">
        <v>1044</v>
      </c>
      <c r="AH175" s="0" t="s">
        <v>46</v>
      </c>
      <c r="AI175" s="0" t="s">
        <v>46</v>
      </c>
      <c r="AJ175" s="0" t="s">
        <v>46</v>
      </c>
      <c r="AK175" s="0" t="s">
        <v>46</v>
      </c>
      <c r="AL175" s="0" t="s">
        <v>584</v>
      </c>
    </row>
    <row r="176" customFormat="false" ht="15" hidden="false" customHeight="false" outlineLevel="0" collapsed="false">
      <c r="B176" s="0" t="str">
        <f aca="false">HYPERLINK("https://genome.ucsc.edu/cgi-bin/hgTracks?db=hg19&amp;position=chr12%3A124363818%2D124363818", "chr12:124363818")</f>
        <v>chr12:124363818</v>
      </c>
      <c r="C176" s="0" t="s">
        <v>235</v>
      </c>
      <c r="D176" s="0" t="n">
        <v>124363818</v>
      </c>
      <c r="E176" s="0" t="n">
        <v>124363818</v>
      </c>
      <c r="F176" s="0" t="s">
        <v>57</v>
      </c>
      <c r="G176" s="0" t="s">
        <v>69</v>
      </c>
      <c r="H176" s="0" t="s">
        <v>1052</v>
      </c>
      <c r="I176" s="0" t="s">
        <v>578</v>
      </c>
      <c r="J176" s="0" t="s">
        <v>1053</v>
      </c>
      <c r="K176" s="0" t="s">
        <v>46</v>
      </c>
      <c r="L176" s="0" t="str">
        <f aca="false">HYPERLINK("https://www.ncbi.nlm.nih.gov/snp/rs577138824", "rs577138824")</f>
        <v>rs577138824</v>
      </c>
      <c r="M176" s="0" t="str">
        <f aca="false">HYPERLINK("https://www.genecards.org/Search/Keyword?queryString=%5Baliases%5D(%20DNAH10%20)&amp;keywords=DNAH10", "DNAH10")</f>
        <v>DNAH10</v>
      </c>
      <c r="N176" s="0" t="s">
        <v>98</v>
      </c>
      <c r="O176" s="0" t="s">
        <v>99</v>
      </c>
      <c r="P176" s="0" t="s">
        <v>1054</v>
      </c>
      <c r="Q176" s="0" t="n">
        <v>0.0002</v>
      </c>
      <c r="R176" s="0" t="n">
        <v>0.0003</v>
      </c>
      <c r="S176" s="0" t="n">
        <v>0.0001</v>
      </c>
      <c r="T176" s="0" t="n">
        <v>-1</v>
      </c>
      <c r="U176" s="0" t="n">
        <v>0.0002</v>
      </c>
      <c r="V176" s="0" t="s">
        <v>314</v>
      </c>
      <c r="W176" s="0" t="s">
        <v>46</v>
      </c>
      <c r="X176" s="0" t="s">
        <v>46</v>
      </c>
      <c r="Y176" s="0" t="s">
        <v>46</v>
      </c>
      <c r="Z176" s="0" t="s">
        <v>159</v>
      </c>
      <c r="AA176" s="0" t="s">
        <v>171</v>
      </c>
      <c r="AB176" s="0" t="s">
        <v>46</v>
      </c>
      <c r="AC176" s="0" t="s">
        <v>51</v>
      </c>
      <c r="AD176" s="0" t="s">
        <v>52</v>
      </c>
      <c r="AE176" s="0" t="s">
        <v>1055</v>
      </c>
      <c r="AF176" s="0" t="s">
        <v>1056</v>
      </c>
      <c r="AG176" s="0" t="s">
        <v>1057</v>
      </c>
      <c r="AH176" s="0" t="s">
        <v>46</v>
      </c>
      <c r="AI176" s="0" t="s">
        <v>46</v>
      </c>
      <c r="AJ176" s="0" t="s">
        <v>46</v>
      </c>
      <c r="AK176" s="0" t="s">
        <v>46</v>
      </c>
      <c r="AL176" s="0" t="s">
        <v>46</v>
      </c>
    </row>
    <row r="177" customFormat="false" ht="15" hidden="false" customHeight="false" outlineLevel="0" collapsed="false">
      <c r="B177" s="0" t="str">
        <f aca="false">HYPERLINK("https://genome.ucsc.edu/cgi-bin/hgTracks?db=hg19&amp;position=chr13%3A49794972%2D49794972", "chr13:49794972")</f>
        <v>chr13:49794972</v>
      </c>
      <c r="C177" s="0" t="s">
        <v>176</v>
      </c>
      <c r="D177" s="0" t="n">
        <v>49794972</v>
      </c>
      <c r="E177" s="0" t="n">
        <v>49794972</v>
      </c>
      <c r="F177" s="0" t="s">
        <v>39</v>
      </c>
      <c r="G177" s="0" t="s">
        <v>69</v>
      </c>
      <c r="H177" s="0" t="s">
        <v>1058</v>
      </c>
      <c r="I177" s="0" t="s">
        <v>779</v>
      </c>
      <c r="J177" s="0" t="s">
        <v>1059</v>
      </c>
      <c r="K177" s="0" t="s">
        <v>46</v>
      </c>
      <c r="L177" s="0" t="str">
        <f aca="false">HYPERLINK("https://www.ncbi.nlm.nih.gov/snp/rs766731237", "rs766731237")</f>
        <v>rs766731237</v>
      </c>
      <c r="M177" s="0" t="str">
        <f aca="false">HYPERLINK("https://www.genecards.org/Search/Keyword?queryString=%5Baliases%5D(%20MLNR%20)&amp;keywords=MLNR", "MLNR")</f>
        <v>MLNR</v>
      </c>
      <c r="N177" s="0" t="s">
        <v>98</v>
      </c>
      <c r="O177" s="0" t="s">
        <v>99</v>
      </c>
      <c r="P177" s="0" t="s">
        <v>1060</v>
      </c>
      <c r="Q177" s="0" t="n">
        <v>1.29E-005</v>
      </c>
      <c r="R177" s="0" t="n">
        <v>-1</v>
      </c>
      <c r="S177" s="0" t="n">
        <v>-1</v>
      </c>
      <c r="T177" s="0" t="n">
        <v>-1</v>
      </c>
      <c r="U177" s="0" t="n">
        <v>-1</v>
      </c>
      <c r="V177" s="0" t="s">
        <v>767</v>
      </c>
      <c r="W177" s="0" t="s">
        <v>46</v>
      </c>
      <c r="X177" s="0" t="s">
        <v>46</v>
      </c>
      <c r="Y177" s="0" t="s">
        <v>46</v>
      </c>
      <c r="Z177" s="0" t="s">
        <v>138</v>
      </c>
      <c r="AA177" s="0" t="s">
        <v>171</v>
      </c>
      <c r="AB177" s="0" t="s">
        <v>46</v>
      </c>
      <c r="AC177" s="0" t="s">
        <v>51</v>
      </c>
      <c r="AD177" s="0" t="s">
        <v>856</v>
      </c>
      <c r="AE177" s="0" t="s">
        <v>1061</v>
      </c>
      <c r="AF177" s="0" t="s">
        <v>1062</v>
      </c>
      <c r="AG177" s="0" t="s">
        <v>1063</v>
      </c>
      <c r="AH177" s="0" t="s">
        <v>46</v>
      </c>
      <c r="AI177" s="0" t="s">
        <v>46</v>
      </c>
      <c r="AJ177" s="0" t="s">
        <v>46</v>
      </c>
      <c r="AK177" s="0" t="s">
        <v>46</v>
      </c>
      <c r="AL177" s="0" t="s">
        <v>46</v>
      </c>
    </row>
    <row r="178" customFormat="false" ht="15" hidden="false" customHeight="false" outlineLevel="0" collapsed="false">
      <c r="B178" s="0" t="str">
        <f aca="false">HYPERLINK("https://genome.ucsc.edu/cgi-bin/hgTracks?db=hg19&amp;position=chr13%3A49794973%2D49794973", "chr13:49794973")</f>
        <v>chr13:49794973</v>
      </c>
      <c r="C178" s="0" t="s">
        <v>176</v>
      </c>
      <c r="D178" s="0" t="n">
        <v>49794973</v>
      </c>
      <c r="E178" s="0" t="n">
        <v>49794973</v>
      </c>
      <c r="F178" s="0" t="s">
        <v>40</v>
      </c>
      <c r="G178" s="0" t="s">
        <v>69</v>
      </c>
      <c r="H178" s="0" t="s">
        <v>1058</v>
      </c>
      <c r="I178" s="0" t="s">
        <v>779</v>
      </c>
      <c r="J178" s="0" t="s">
        <v>1059</v>
      </c>
      <c r="K178" s="0" t="s">
        <v>46</v>
      </c>
      <c r="L178" s="0" t="str">
        <f aca="false">HYPERLINK("https://www.ncbi.nlm.nih.gov/snp/rs753499262", "rs753499262")</f>
        <v>rs753499262</v>
      </c>
      <c r="M178" s="0" t="str">
        <f aca="false">HYPERLINK("https://www.genecards.org/Search/Keyword?queryString=%5Baliases%5D(%20MLNR%20)&amp;keywords=MLNR", "MLNR")</f>
        <v>MLNR</v>
      </c>
      <c r="N178" s="0" t="s">
        <v>98</v>
      </c>
      <c r="O178" s="0" t="s">
        <v>99</v>
      </c>
      <c r="P178" s="0" t="s">
        <v>1064</v>
      </c>
      <c r="Q178" s="0" t="n">
        <v>1.29E-005</v>
      </c>
      <c r="R178" s="0" t="n">
        <v>-1</v>
      </c>
      <c r="S178" s="0" t="n">
        <v>-1</v>
      </c>
      <c r="T178" s="0" t="n">
        <v>-1</v>
      </c>
      <c r="U178" s="0" t="n">
        <v>-1</v>
      </c>
      <c r="V178" s="0" t="s">
        <v>697</v>
      </c>
      <c r="W178" s="0" t="s">
        <v>46</v>
      </c>
      <c r="X178" s="0" t="s">
        <v>46</v>
      </c>
      <c r="Y178" s="0" t="s">
        <v>46</v>
      </c>
      <c r="Z178" s="0" t="s">
        <v>138</v>
      </c>
      <c r="AA178" s="0" t="s">
        <v>171</v>
      </c>
      <c r="AB178" s="0" t="s">
        <v>46</v>
      </c>
      <c r="AC178" s="0" t="s">
        <v>51</v>
      </c>
      <c r="AD178" s="0" t="s">
        <v>856</v>
      </c>
      <c r="AE178" s="0" t="s">
        <v>1061</v>
      </c>
      <c r="AF178" s="0" t="s">
        <v>1062</v>
      </c>
      <c r="AG178" s="0" t="s">
        <v>1063</v>
      </c>
      <c r="AH178" s="0" t="s">
        <v>46</v>
      </c>
      <c r="AI178" s="0" t="s">
        <v>46</v>
      </c>
      <c r="AJ178" s="0" t="s">
        <v>46</v>
      </c>
      <c r="AK178" s="0" t="s">
        <v>46</v>
      </c>
      <c r="AL178" s="0" t="s">
        <v>46</v>
      </c>
    </row>
    <row r="179" customFormat="false" ht="15" hidden="false" customHeight="false" outlineLevel="0" collapsed="false">
      <c r="B179" s="0" t="str">
        <f aca="false">HYPERLINK("https://genome.ucsc.edu/cgi-bin/hgTracks?db=hg19&amp;position=chr13%3A70549906%2D70549906", "chr13:70549906")</f>
        <v>chr13:70549906</v>
      </c>
      <c r="C179" s="0" t="s">
        <v>176</v>
      </c>
      <c r="D179" s="0" t="n">
        <v>70549906</v>
      </c>
      <c r="E179" s="0" t="n">
        <v>70549906</v>
      </c>
      <c r="F179" s="0" t="s">
        <v>69</v>
      </c>
      <c r="G179" s="0" t="s">
        <v>57</v>
      </c>
      <c r="H179" s="0" t="s">
        <v>1065</v>
      </c>
      <c r="I179" s="0" t="s">
        <v>413</v>
      </c>
      <c r="J179" s="0" t="s">
        <v>1066</v>
      </c>
      <c r="K179" s="0" t="s">
        <v>46</v>
      </c>
      <c r="L179" s="0" t="str">
        <f aca="false">HYPERLINK("https://www.ncbi.nlm.nih.gov/snp/rs35781936", "rs35781936")</f>
        <v>rs35781936</v>
      </c>
      <c r="M179" s="0" t="str">
        <f aca="false">HYPERLINK("https://www.genecards.org/Search/Keyword?queryString=%5Baliases%5D(%20KLHL1%20)&amp;keywords=KLHL1", "KLHL1")</f>
        <v>KLHL1</v>
      </c>
      <c r="N179" s="0" t="s">
        <v>98</v>
      </c>
      <c r="O179" s="0" t="s">
        <v>99</v>
      </c>
      <c r="P179" s="0" t="s">
        <v>1067</v>
      </c>
      <c r="Q179" s="0" t="n">
        <v>0.0172</v>
      </c>
      <c r="R179" s="0" t="n">
        <v>0.0076</v>
      </c>
      <c r="S179" s="0" t="n">
        <v>0.0074</v>
      </c>
      <c r="T179" s="0" t="n">
        <v>-1</v>
      </c>
      <c r="U179" s="0" t="n">
        <v>0.0084</v>
      </c>
      <c r="V179" s="0" t="s">
        <v>215</v>
      </c>
      <c r="W179" s="0" t="s">
        <v>46</v>
      </c>
      <c r="X179" s="0" t="s">
        <v>46</v>
      </c>
      <c r="Y179" s="0" t="s">
        <v>46</v>
      </c>
      <c r="Z179" s="0" t="s">
        <v>49</v>
      </c>
      <c r="AA179" s="0" t="s">
        <v>171</v>
      </c>
      <c r="AB179" s="0" t="s">
        <v>46</v>
      </c>
      <c r="AC179" s="0" t="s">
        <v>51</v>
      </c>
      <c r="AD179" s="0" t="s">
        <v>52</v>
      </c>
      <c r="AE179" s="0" t="s">
        <v>1068</v>
      </c>
      <c r="AF179" s="0" t="s">
        <v>1069</v>
      </c>
      <c r="AG179" s="0" t="s">
        <v>1070</v>
      </c>
      <c r="AH179" s="0" t="s">
        <v>46</v>
      </c>
      <c r="AI179" s="0" t="s">
        <v>46</v>
      </c>
      <c r="AJ179" s="0" t="s">
        <v>46</v>
      </c>
      <c r="AK179" s="0" t="s">
        <v>46</v>
      </c>
      <c r="AL179" s="0" t="s">
        <v>46</v>
      </c>
    </row>
    <row r="180" customFormat="false" ht="15" hidden="false" customHeight="false" outlineLevel="0" collapsed="false">
      <c r="B180" s="0" t="str">
        <f aca="false">HYPERLINK("https://genome.ucsc.edu/cgi-bin/hgTracks?db=hg19&amp;position=chr13%3A76381713%2D76381713", "chr13:76381713")</f>
        <v>chr13:76381713</v>
      </c>
      <c r="C180" s="0" t="s">
        <v>176</v>
      </c>
      <c r="D180" s="0" t="n">
        <v>76381713</v>
      </c>
      <c r="E180" s="0" t="n">
        <v>76381713</v>
      </c>
      <c r="F180" s="0" t="s">
        <v>57</v>
      </c>
      <c r="G180" s="0" t="s">
        <v>40</v>
      </c>
      <c r="H180" s="0" t="s">
        <v>1071</v>
      </c>
      <c r="I180" s="0" t="s">
        <v>1072</v>
      </c>
      <c r="J180" s="0" t="s">
        <v>1073</v>
      </c>
      <c r="K180" s="0" t="s">
        <v>46</v>
      </c>
      <c r="L180" s="0" t="str">
        <f aca="false">HYPERLINK("https://www.ncbi.nlm.nih.gov/snp/rs78174524", "rs78174524")</f>
        <v>rs78174524</v>
      </c>
      <c r="M180" s="0" t="str">
        <f aca="false">HYPERLINK("https://www.genecards.org/Search/Keyword?queryString=%5Baliases%5D(%20LMO7%20)&amp;keywords=LMO7", "LMO7")</f>
        <v>LMO7</v>
      </c>
      <c r="N180" s="0" t="s">
        <v>98</v>
      </c>
      <c r="O180" s="0" t="s">
        <v>99</v>
      </c>
      <c r="P180" s="0" t="s">
        <v>1074</v>
      </c>
      <c r="Q180" s="0" t="n">
        <v>0.010101</v>
      </c>
      <c r="R180" s="0" t="n">
        <v>0.0098</v>
      </c>
      <c r="S180" s="0" t="n">
        <v>0.0097</v>
      </c>
      <c r="T180" s="0" t="n">
        <v>-1</v>
      </c>
      <c r="U180" s="0" t="n">
        <v>0.0101</v>
      </c>
      <c r="V180" s="0" t="s">
        <v>126</v>
      </c>
      <c r="W180" s="0" t="s">
        <v>46</v>
      </c>
      <c r="X180" s="0" t="s">
        <v>46</v>
      </c>
      <c r="Y180" s="0" t="s">
        <v>46</v>
      </c>
      <c r="Z180" s="0" t="s">
        <v>102</v>
      </c>
      <c r="AA180" s="0" t="s">
        <v>171</v>
      </c>
      <c r="AB180" s="0" t="s">
        <v>46</v>
      </c>
      <c r="AC180" s="0" t="s">
        <v>51</v>
      </c>
      <c r="AD180" s="0" t="s">
        <v>52</v>
      </c>
      <c r="AE180" s="0" t="s">
        <v>1075</v>
      </c>
      <c r="AF180" s="0" t="s">
        <v>1076</v>
      </c>
      <c r="AG180" s="0" t="s">
        <v>46</v>
      </c>
      <c r="AH180" s="0" t="s">
        <v>46</v>
      </c>
      <c r="AI180" s="0" t="s">
        <v>46</v>
      </c>
      <c r="AJ180" s="0" t="s">
        <v>46</v>
      </c>
      <c r="AK180" s="0" t="s">
        <v>46</v>
      </c>
      <c r="AL180" s="0" t="s">
        <v>46</v>
      </c>
    </row>
    <row r="181" customFormat="false" ht="15" hidden="false" customHeight="false" outlineLevel="0" collapsed="false">
      <c r="B181" s="0" t="str">
        <f aca="false">HYPERLINK("https://genome.ucsc.edu/cgi-bin/hgTracks?db=hg19&amp;position=chr13%3A97639000%2D97639000", "chr13:97639000")</f>
        <v>chr13:97639000</v>
      </c>
      <c r="C181" s="0" t="s">
        <v>176</v>
      </c>
      <c r="D181" s="0" t="n">
        <v>97639000</v>
      </c>
      <c r="E181" s="0" t="n">
        <v>97639000</v>
      </c>
      <c r="F181" s="0" t="s">
        <v>40</v>
      </c>
      <c r="G181" s="0" t="s">
        <v>57</v>
      </c>
      <c r="H181" s="0" t="s">
        <v>1077</v>
      </c>
      <c r="I181" s="0" t="s">
        <v>413</v>
      </c>
      <c r="J181" s="0" t="s">
        <v>414</v>
      </c>
      <c r="K181" s="0" t="s">
        <v>46</v>
      </c>
      <c r="L181" s="0" t="str">
        <f aca="false">HYPERLINK("https://www.ncbi.nlm.nih.gov/snp/rs145793060", "rs145793060")</f>
        <v>rs145793060</v>
      </c>
      <c r="M181" s="0" t="str">
        <f aca="false">HYPERLINK("https://www.genecards.org/Search/Keyword?queryString=%5Baliases%5D(%20OXGR1%20)&amp;keywords=OXGR1", "OXGR1")</f>
        <v>OXGR1</v>
      </c>
      <c r="N181" s="0" t="s">
        <v>98</v>
      </c>
      <c r="O181" s="0" t="s">
        <v>554</v>
      </c>
      <c r="P181" s="0" t="s">
        <v>1078</v>
      </c>
      <c r="Q181" s="0" t="n">
        <v>0.000821</v>
      </c>
      <c r="R181" s="0" t="n">
        <v>0.001</v>
      </c>
      <c r="S181" s="0" t="n">
        <v>0.001</v>
      </c>
      <c r="T181" s="0" t="n">
        <v>-1</v>
      </c>
      <c r="U181" s="0" t="n">
        <v>0.0018</v>
      </c>
      <c r="V181" s="0" t="s">
        <v>207</v>
      </c>
      <c r="W181" s="0" t="s">
        <v>46</v>
      </c>
      <c r="X181" s="0" t="s">
        <v>46</v>
      </c>
      <c r="Y181" s="0" t="s">
        <v>46</v>
      </c>
      <c r="Z181" s="0" t="s">
        <v>138</v>
      </c>
      <c r="AA181" s="0" t="s">
        <v>171</v>
      </c>
      <c r="AB181" s="0" t="s">
        <v>46</v>
      </c>
      <c r="AC181" s="0" t="s">
        <v>51</v>
      </c>
      <c r="AD181" s="0" t="s">
        <v>52</v>
      </c>
      <c r="AE181" s="0" t="s">
        <v>1079</v>
      </c>
      <c r="AF181" s="0" t="s">
        <v>1080</v>
      </c>
      <c r="AG181" s="0" t="s">
        <v>1081</v>
      </c>
      <c r="AH181" s="0" t="s">
        <v>46</v>
      </c>
      <c r="AI181" s="0" t="s">
        <v>46</v>
      </c>
      <c r="AJ181" s="0" t="s">
        <v>46</v>
      </c>
      <c r="AK181" s="0" t="s">
        <v>46</v>
      </c>
      <c r="AL181" s="0" t="s">
        <v>46</v>
      </c>
    </row>
    <row r="182" customFormat="false" ht="15" hidden="false" customHeight="false" outlineLevel="0" collapsed="false">
      <c r="B182" s="0" t="str">
        <f aca="false">HYPERLINK("https://genome.ucsc.edu/cgi-bin/hgTracks?db=hg19&amp;position=chr14%3A70633818%2D70633818", "chr14:70633818")</f>
        <v>chr14:70633818</v>
      </c>
      <c r="C182" s="0" t="s">
        <v>346</v>
      </c>
      <c r="D182" s="0" t="n">
        <v>70633818</v>
      </c>
      <c r="E182" s="0" t="n">
        <v>70633818</v>
      </c>
      <c r="F182" s="0" t="s">
        <v>40</v>
      </c>
      <c r="G182" s="0" t="s">
        <v>39</v>
      </c>
      <c r="H182" s="0" t="s">
        <v>1082</v>
      </c>
      <c r="I182" s="0" t="s">
        <v>1083</v>
      </c>
      <c r="J182" s="0" t="s">
        <v>1084</v>
      </c>
      <c r="K182" s="0" t="s">
        <v>46</v>
      </c>
      <c r="L182" s="0" t="str">
        <f aca="false">HYPERLINK("https://www.ncbi.nlm.nih.gov/snp/rs146498093", "rs146498093")</f>
        <v>rs146498093</v>
      </c>
      <c r="M182" s="0" t="str">
        <f aca="false">HYPERLINK("https://www.genecards.org/Search/Keyword?queryString=%5Baliases%5D(%20SLC8A3%20)&amp;keywords=SLC8A3", "SLC8A3")</f>
        <v>SLC8A3</v>
      </c>
      <c r="N182" s="0" t="s">
        <v>98</v>
      </c>
      <c r="O182" s="0" t="s">
        <v>99</v>
      </c>
      <c r="P182" s="0" t="s">
        <v>1085</v>
      </c>
      <c r="Q182" s="0" t="n">
        <v>0.015</v>
      </c>
      <c r="R182" s="0" t="n">
        <v>0.0068</v>
      </c>
      <c r="S182" s="0" t="n">
        <v>0.0052</v>
      </c>
      <c r="T182" s="0" t="n">
        <v>-1</v>
      </c>
      <c r="U182" s="0" t="n">
        <v>0.0116</v>
      </c>
      <c r="V182" s="0" t="s">
        <v>257</v>
      </c>
      <c r="W182" s="0" t="s">
        <v>46</v>
      </c>
      <c r="X182" s="0" t="s">
        <v>46</v>
      </c>
      <c r="Y182" s="0" t="s">
        <v>46</v>
      </c>
      <c r="Z182" s="0" t="s">
        <v>183</v>
      </c>
      <c r="AA182" s="0" t="s">
        <v>171</v>
      </c>
      <c r="AB182" s="0" t="s">
        <v>46</v>
      </c>
      <c r="AC182" s="0" t="s">
        <v>51</v>
      </c>
      <c r="AD182" s="0" t="s">
        <v>52</v>
      </c>
      <c r="AE182" s="0" t="s">
        <v>1086</v>
      </c>
      <c r="AF182" s="0" t="s">
        <v>1087</v>
      </c>
      <c r="AG182" s="0" t="s">
        <v>1088</v>
      </c>
      <c r="AH182" s="0" t="s">
        <v>46</v>
      </c>
      <c r="AI182" s="0" t="s">
        <v>46</v>
      </c>
      <c r="AJ182" s="0" t="s">
        <v>46</v>
      </c>
      <c r="AK182" s="0" t="s">
        <v>46</v>
      </c>
      <c r="AL182" s="0" t="s">
        <v>46</v>
      </c>
    </row>
    <row r="183" customFormat="false" ht="15" hidden="false" customHeight="false" outlineLevel="0" collapsed="false">
      <c r="B183" s="0" t="str">
        <f aca="false">HYPERLINK("https://genome.ucsc.edu/cgi-bin/hgTracks?db=hg19&amp;position=chr14%3A96781800%2D96781800", "chr14:96781800")</f>
        <v>chr14:96781800</v>
      </c>
      <c r="C183" s="0" t="s">
        <v>346</v>
      </c>
      <c r="D183" s="0" t="n">
        <v>96781800</v>
      </c>
      <c r="E183" s="0" t="n">
        <v>96781800</v>
      </c>
      <c r="F183" s="0" t="s">
        <v>40</v>
      </c>
      <c r="G183" s="0" t="s">
        <v>39</v>
      </c>
      <c r="H183" s="0" t="s">
        <v>1089</v>
      </c>
      <c r="I183" s="0" t="s">
        <v>1090</v>
      </c>
      <c r="J183" s="0" t="s">
        <v>1091</v>
      </c>
      <c r="K183" s="0" t="s">
        <v>46</v>
      </c>
      <c r="L183" s="0" t="str">
        <f aca="false">HYPERLINK("https://www.ncbi.nlm.nih.gov/snp/rs201736391", "rs201736391")</f>
        <v>rs201736391</v>
      </c>
      <c r="M183" s="0" t="str">
        <f aca="false">HYPERLINK("https://www.genecards.org/Search/Keyword?queryString=%5Baliases%5D(%20ATG2B%20)&amp;keywords=ATG2B", "ATG2B")</f>
        <v>ATG2B</v>
      </c>
      <c r="N183" s="0" t="s">
        <v>98</v>
      </c>
      <c r="O183" s="0" t="s">
        <v>99</v>
      </c>
      <c r="P183" s="0" t="s">
        <v>1092</v>
      </c>
      <c r="Q183" s="0" t="n">
        <v>0.003049</v>
      </c>
      <c r="R183" s="0" t="n">
        <v>0.0014</v>
      </c>
      <c r="S183" s="0" t="n">
        <v>0.0011</v>
      </c>
      <c r="T183" s="0" t="n">
        <v>-1</v>
      </c>
      <c r="U183" s="0" t="n">
        <v>0.0025</v>
      </c>
      <c r="V183" s="0" t="s">
        <v>158</v>
      </c>
      <c r="W183" s="0" t="s">
        <v>46</v>
      </c>
      <c r="X183" s="0" t="s">
        <v>46</v>
      </c>
      <c r="Y183" s="0" t="s">
        <v>46</v>
      </c>
      <c r="Z183" s="0" t="s">
        <v>231</v>
      </c>
      <c r="AA183" s="0" t="s">
        <v>171</v>
      </c>
      <c r="AB183" s="0" t="s">
        <v>46</v>
      </c>
      <c r="AC183" s="0" t="s">
        <v>51</v>
      </c>
      <c r="AD183" s="0" t="s">
        <v>52</v>
      </c>
      <c r="AE183" s="0" t="s">
        <v>1093</v>
      </c>
      <c r="AF183" s="0" t="s">
        <v>1094</v>
      </c>
      <c r="AG183" s="0" t="s">
        <v>1095</v>
      </c>
      <c r="AH183" s="0" t="s">
        <v>46</v>
      </c>
      <c r="AI183" s="0" t="s">
        <v>46</v>
      </c>
      <c r="AJ183" s="0" t="s">
        <v>46</v>
      </c>
      <c r="AK183" s="0" t="s">
        <v>46</v>
      </c>
      <c r="AL183" s="0" t="s">
        <v>46</v>
      </c>
    </row>
    <row r="184" customFormat="false" ht="15" hidden="false" customHeight="false" outlineLevel="0" collapsed="false">
      <c r="B184" s="0" t="str">
        <f aca="false">HYPERLINK("https://genome.ucsc.edu/cgi-bin/hgTracks?db=hg19&amp;position=chr14%3A100602252%2D100602252", "chr14:100602252")</f>
        <v>chr14:100602252</v>
      </c>
      <c r="C184" s="0" t="s">
        <v>346</v>
      </c>
      <c r="D184" s="0" t="n">
        <v>100602252</v>
      </c>
      <c r="E184" s="0" t="n">
        <v>100602252</v>
      </c>
      <c r="F184" s="0" t="s">
        <v>69</v>
      </c>
      <c r="G184" s="0" t="s">
        <v>57</v>
      </c>
      <c r="H184" s="0" t="s">
        <v>1096</v>
      </c>
      <c r="I184" s="0" t="s">
        <v>273</v>
      </c>
      <c r="J184" s="0" t="s">
        <v>1097</v>
      </c>
      <c r="K184" s="0" t="s">
        <v>46</v>
      </c>
      <c r="L184" s="0" t="str">
        <f aca="false">HYPERLINK("https://www.ncbi.nlm.nih.gov/snp/rs759593838", "rs759593838")</f>
        <v>rs759593838</v>
      </c>
      <c r="M184" s="0" t="str">
        <f aca="false">HYPERLINK("https://www.genecards.org/Search/Keyword?queryString=%5Baliases%5D(%20EVL%20)&amp;keywords=EVL", "EVL")</f>
        <v>EVL</v>
      </c>
      <c r="N184" s="0" t="s">
        <v>98</v>
      </c>
      <c r="O184" s="0" t="s">
        <v>99</v>
      </c>
      <c r="P184" s="0" t="s">
        <v>1098</v>
      </c>
      <c r="Q184" s="0" t="n">
        <v>0.0006</v>
      </c>
      <c r="R184" s="0" t="n">
        <v>-1</v>
      </c>
      <c r="S184" s="0" t="n">
        <v>-1</v>
      </c>
      <c r="T184" s="0" t="n">
        <v>-1</v>
      </c>
      <c r="U184" s="0" t="n">
        <v>-1</v>
      </c>
      <c r="V184" s="0" t="s">
        <v>502</v>
      </c>
      <c r="W184" s="0" t="s">
        <v>46</v>
      </c>
      <c r="X184" s="0" t="s">
        <v>46</v>
      </c>
      <c r="Y184" s="0" t="s">
        <v>46</v>
      </c>
      <c r="Z184" s="0" t="s">
        <v>159</v>
      </c>
      <c r="AA184" s="0" t="s">
        <v>171</v>
      </c>
      <c r="AB184" s="0" t="s">
        <v>46</v>
      </c>
      <c r="AC184" s="0" t="s">
        <v>51</v>
      </c>
      <c r="AD184" s="0" t="s">
        <v>52</v>
      </c>
      <c r="AE184" s="0" t="s">
        <v>1099</v>
      </c>
      <c r="AF184" s="0" t="s">
        <v>1100</v>
      </c>
      <c r="AG184" s="0" t="s">
        <v>1101</v>
      </c>
      <c r="AH184" s="0" t="s">
        <v>46</v>
      </c>
      <c r="AI184" s="0" t="s">
        <v>46</v>
      </c>
      <c r="AJ184" s="0" t="s">
        <v>46</v>
      </c>
      <c r="AK184" s="0" t="s">
        <v>46</v>
      </c>
      <c r="AL184" s="0" t="s">
        <v>46</v>
      </c>
    </row>
    <row r="185" customFormat="false" ht="15" hidden="false" customHeight="false" outlineLevel="0" collapsed="false">
      <c r="B185" s="0" t="str">
        <f aca="false">HYPERLINK("https://genome.ucsc.edu/cgi-bin/hgTracks?db=hg19&amp;position=chr15%3A23686163%2D23686163", "chr15:23686163")</f>
        <v>chr15:23686163</v>
      </c>
      <c r="C185" s="0" t="s">
        <v>81</v>
      </c>
      <c r="D185" s="0" t="n">
        <v>23686163</v>
      </c>
      <c r="E185" s="0" t="n">
        <v>23686163</v>
      </c>
      <c r="F185" s="0" t="s">
        <v>39</v>
      </c>
      <c r="G185" s="0" t="s">
        <v>40</v>
      </c>
      <c r="H185" s="0" t="s">
        <v>1102</v>
      </c>
      <c r="I185" s="0" t="s">
        <v>1103</v>
      </c>
      <c r="J185" s="0" t="s">
        <v>1104</v>
      </c>
      <c r="K185" s="0" t="s">
        <v>46</v>
      </c>
      <c r="L185" s="0" t="str">
        <f aca="false">HYPERLINK("https://www.ncbi.nlm.nih.gov/snp/rs74565846", "rs74565846")</f>
        <v>rs74565846</v>
      </c>
      <c r="M185" s="0" t="str">
        <f aca="false">HYPERLINK("https://www.genecards.org/Search/Keyword?queryString=%5Baliases%5D(%20GOLGA6L2%20)&amp;keywords=GOLGA6L2", "GOLGA6L2")</f>
        <v>GOLGA6L2</v>
      </c>
      <c r="N185" s="0" t="s">
        <v>98</v>
      </c>
      <c r="O185" s="0" t="s">
        <v>99</v>
      </c>
      <c r="P185" s="0" t="s">
        <v>1105</v>
      </c>
      <c r="Q185" s="0" t="n">
        <v>0.01</v>
      </c>
      <c r="R185" s="0" t="n">
        <v>0.0008</v>
      </c>
      <c r="S185" s="0" t="n">
        <v>0.0006</v>
      </c>
      <c r="T185" s="0" t="n">
        <v>-1</v>
      </c>
      <c r="U185" s="0" t="n">
        <v>0.0014</v>
      </c>
      <c r="V185" s="0" t="s">
        <v>158</v>
      </c>
      <c r="W185" s="0" t="s">
        <v>46</v>
      </c>
      <c r="X185" s="0" t="s">
        <v>46</v>
      </c>
      <c r="Y185" s="0" t="s">
        <v>46</v>
      </c>
      <c r="Z185" s="0" t="s">
        <v>1106</v>
      </c>
      <c r="AA185" s="0" t="s">
        <v>171</v>
      </c>
      <c r="AB185" s="0" t="s">
        <v>46</v>
      </c>
      <c r="AC185" s="0" t="s">
        <v>51</v>
      </c>
      <c r="AD185" s="0" t="s">
        <v>52</v>
      </c>
      <c r="AE185" s="0" t="s">
        <v>1107</v>
      </c>
      <c r="AF185" s="0" t="s">
        <v>1108</v>
      </c>
      <c r="AG185" s="0" t="s">
        <v>46</v>
      </c>
      <c r="AH185" s="0" t="s">
        <v>46</v>
      </c>
      <c r="AI185" s="0" t="s">
        <v>802</v>
      </c>
      <c r="AJ185" s="0" t="s">
        <v>46</v>
      </c>
      <c r="AK185" s="0" t="s">
        <v>46</v>
      </c>
      <c r="AL185" s="0" t="s">
        <v>46</v>
      </c>
    </row>
    <row r="186" customFormat="false" ht="15" hidden="false" customHeight="false" outlineLevel="0" collapsed="false">
      <c r="B186" s="0" t="str">
        <f aca="false">HYPERLINK("https://genome.ucsc.edu/cgi-bin/hgTracks?db=hg19&amp;position=chr15%3A29429346%2D29429346", "chr15:29429346")</f>
        <v>chr15:29429346</v>
      </c>
      <c r="C186" s="0" t="s">
        <v>81</v>
      </c>
      <c r="D186" s="0" t="n">
        <v>29429346</v>
      </c>
      <c r="E186" s="0" t="n">
        <v>29429346</v>
      </c>
      <c r="F186" s="0" t="s">
        <v>39</v>
      </c>
      <c r="G186" s="0" t="s">
        <v>40</v>
      </c>
      <c r="H186" s="0" t="s">
        <v>1109</v>
      </c>
      <c r="I186" s="0" t="s">
        <v>464</v>
      </c>
      <c r="J186" s="0" t="s">
        <v>1110</v>
      </c>
      <c r="K186" s="0" t="s">
        <v>46</v>
      </c>
      <c r="L186" s="0" t="str">
        <f aca="false">HYPERLINK("https://www.ncbi.nlm.nih.gov/snp/rs2292628", "rs2292628")</f>
        <v>rs2292628</v>
      </c>
      <c r="M186" s="0" t="str">
        <f aca="false">HYPERLINK("https://www.genecards.org/Search/Keyword?queryString=%5Baliases%5D(%20FAM189A1%20)&amp;keywords=FAM189A1", "FAM189A1")</f>
        <v>FAM189A1</v>
      </c>
      <c r="N186" s="0" t="s">
        <v>98</v>
      </c>
      <c r="O186" s="0" t="s">
        <v>99</v>
      </c>
      <c r="P186" s="0" t="s">
        <v>1111</v>
      </c>
      <c r="Q186" s="0" t="n">
        <v>0.0263</v>
      </c>
      <c r="R186" s="0" t="n">
        <v>0.0264</v>
      </c>
      <c r="S186" s="0" t="n">
        <v>0.0263</v>
      </c>
      <c r="T186" s="0" t="n">
        <v>-1</v>
      </c>
      <c r="U186" s="0" t="n">
        <v>0.0362</v>
      </c>
      <c r="V186" s="0" t="s">
        <v>230</v>
      </c>
      <c r="W186" s="0" t="s">
        <v>46</v>
      </c>
      <c r="X186" s="0" t="s">
        <v>46</v>
      </c>
      <c r="Y186" s="0" t="s">
        <v>46</v>
      </c>
      <c r="Z186" s="0" t="s">
        <v>138</v>
      </c>
      <c r="AA186" s="0" t="s">
        <v>171</v>
      </c>
      <c r="AB186" s="0" t="s">
        <v>46</v>
      </c>
      <c r="AC186" s="0" t="s">
        <v>51</v>
      </c>
      <c r="AD186" s="0" t="s">
        <v>52</v>
      </c>
      <c r="AE186" s="0" t="s">
        <v>46</v>
      </c>
      <c r="AF186" s="0" t="s">
        <v>1112</v>
      </c>
      <c r="AG186" s="0" t="s">
        <v>46</v>
      </c>
      <c r="AH186" s="0" t="s">
        <v>46</v>
      </c>
      <c r="AI186" s="0" t="s">
        <v>46</v>
      </c>
      <c r="AJ186" s="0" t="s">
        <v>46</v>
      </c>
      <c r="AK186" s="0" t="s">
        <v>46</v>
      </c>
      <c r="AL186" s="0" t="s">
        <v>46</v>
      </c>
    </row>
    <row r="187" customFormat="false" ht="15" hidden="false" customHeight="false" outlineLevel="0" collapsed="false">
      <c r="B187" s="0" t="str">
        <f aca="false">HYPERLINK("https://genome.ucsc.edu/cgi-bin/hgTracks?db=hg19&amp;position=chr15%3A40750718%2D40750718", "chr15:40750718")</f>
        <v>chr15:40750718</v>
      </c>
      <c r="C187" s="0" t="s">
        <v>81</v>
      </c>
      <c r="D187" s="0" t="n">
        <v>40750718</v>
      </c>
      <c r="E187" s="0" t="n">
        <v>40750718</v>
      </c>
      <c r="F187" s="0" t="s">
        <v>39</v>
      </c>
      <c r="G187" s="0" t="s">
        <v>40</v>
      </c>
      <c r="H187" s="0" t="s">
        <v>1113</v>
      </c>
      <c r="I187" s="0" t="s">
        <v>1114</v>
      </c>
      <c r="J187" s="0" t="s">
        <v>1115</v>
      </c>
      <c r="K187" s="0" t="s">
        <v>46</v>
      </c>
      <c r="L187" s="0" t="str">
        <f aca="false">HYPERLINK("https://www.ncbi.nlm.nih.gov/snp/rs374059923", "rs374059923")</f>
        <v>rs374059923</v>
      </c>
      <c r="M187" s="0" t="str">
        <f aca="false">HYPERLINK("https://www.genecards.org/Search/Keyword?queryString=%5Baliases%5D(%20BAHD1%20)&amp;keywords=BAHD1", "BAHD1")</f>
        <v>BAHD1</v>
      </c>
      <c r="N187" s="0" t="s">
        <v>98</v>
      </c>
      <c r="O187" s="0" t="s">
        <v>99</v>
      </c>
      <c r="P187" s="0" t="s">
        <v>1116</v>
      </c>
      <c r="Q187" s="0" t="n">
        <v>0.001</v>
      </c>
      <c r="R187" s="0" t="n">
        <v>9.035E-005</v>
      </c>
      <c r="S187" s="0" t="n">
        <v>7.353E-005</v>
      </c>
      <c r="T187" s="0" t="n">
        <v>-1</v>
      </c>
      <c r="U187" s="0" t="n">
        <v>-1</v>
      </c>
      <c r="V187" s="0" t="s">
        <v>600</v>
      </c>
      <c r="W187" s="0" t="s">
        <v>46</v>
      </c>
      <c r="X187" s="0" t="s">
        <v>46</v>
      </c>
      <c r="Y187" s="0" t="s">
        <v>46</v>
      </c>
      <c r="Z187" s="0" t="s">
        <v>138</v>
      </c>
      <c r="AA187" s="0" t="s">
        <v>171</v>
      </c>
      <c r="AB187" s="0" t="s">
        <v>46</v>
      </c>
      <c r="AC187" s="0" t="s">
        <v>51</v>
      </c>
      <c r="AD187" s="0" t="s">
        <v>52</v>
      </c>
      <c r="AE187" s="0" t="s">
        <v>1117</v>
      </c>
      <c r="AF187" s="0" t="s">
        <v>1118</v>
      </c>
      <c r="AG187" s="0" t="s">
        <v>1119</v>
      </c>
      <c r="AH187" s="0" t="s">
        <v>46</v>
      </c>
      <c r="AI187" s="0" t="s">
        <v>46</v>
      </c>
      <c r="AJ187" s="0" t="s">
        <v>46</v>
      </c>
      <c r="AK187" s="0" t="s">
        <v>46</v>
      </c>
      <c r="AL187" s="0" t="s">
        <v>46</v>
      </c>
    </row>
    <row r="188" customFormat="false" ht="15" hidden="false" customHeight="false" outlineLevel="0" collapsed="false">
      <c r="B188" s="0" t="str">
        <f aca="false">HYPERLINK("https://genome.ucsc.edu/cgi-bin/hgTracks?db=hg19&amp;position=chr15%3A42153617%2D42153617", "chr15:42153617")</f>
        <v>chr15:42153617</v>
      </c>
      <c r="C188" s="0" t="s">
        <v>81</v>
      </c>
      <c r="D188" s="0" t="n">
        <v>42153617</v>
      </c>
      <c r="E188" s="0" t="n">
        <v>42153617</v>
      </c>
      <c r="F188" s="0" t="s">
        <v>39</v>
      </c>
      <c r="G188" s="0" t="s">
        <v>40</v>
      </c>
      <c r="H188" s="0" t="s">
        <v>1120</v>
      </c>
      <c r="I188" s="0" t="s">
        <v>1121</v>
      </c>
      <c r="J188" s="0" t="s">
        <v>1122</v>
      </c>
      <c r="K188" s="0" t="s">
        <v>46</v>
      </c>
      <c r="L188" s="0" t="str">
        <f aca="false">HYPERLINK("https://www.ncbi.nlm.nih.gov/snp/rs199711572", "rs199711572")</f>
        <v>rs199711572</v>
      </c>
      <c r="M188" s="0" t="str">
        <f aca="false">HYPERLINK("https://www.genecards.org/Search/Keyword?queryString=%5Baliases%5D(%20SPTBN5%20)&amp;keywords=SPTBN5", "SPTBN5")</f>
        <v>SPTBN5</v>
      </c>
      <c r="N188" s="0" t="s">
        <v>98</v>
      </c>
      <c r="O188" s="0" t="s">
        <v>371</v>
      </c>
      <c r="P188" s="0" t="s">
        <v>1123</v>
      </c>
      <c r="Q188" s="0" t="n">
        <v>0.002</v>
      </c>
      <c r="R188" s="0" t="n">
        <v>0.002</v>
      </c>
      <c r="S188" s="0" t="n">
        <v>0.0017</v>
      </c>
      <c r="T188" s="0" t="n">
        <v>-1</v>
      </c>
      <c r="U188" s="0" t="n">
        <v>0.0033</v>
      </c>
      <c r="V188" s="0" t="s">
        <v>373</v>
      </c>
      <c r="W188" s="0" t="s">
        <v>999</v>
      </c>
      <c r="X188" s="0" t="s">
        <v>46</v>
      </c>
      <c r="Y188" s="0" t="s">
        <v>46</v>
      </c>
      <c r="Z188" s="0" t="s">
        <v>49</v>
      </c>
      <c r="AA188" s="0" t="s">
        <v>171</v>
      </c>
      <c r="AB188" s="0" t="s">
        <v>46</v>
      </c>
      <c r="AC188" s="0" t="s">
        <v>51</v>
      </c>
      <c r="AD188" s="0" t="s">
        <v>52</v>
      </c>
      <c r="AE188" s="0" t="s">
        <v>1124</v>
      </c>
      <c r="AF188" s="0" t="s">
        <v>1125</v>
      </c>
      <c r="AG188" s="0" t="s">
        <v>46</v>
      </c>
      <c r="AH188" s="0" t="s">
        <v>46</v>
      </c>
      <c r="AI188" s="0" t="s">
        <v>46</v>
      </c>
      <c r="AJ188" s="0" t="s">
        <v>46</v>
      </c>
      <c r="AK188" s="0" t="s">
        <v>46</v>
      </c>
      <c r="AL188" s="0" t="s">
        <v>46</v>
      </c>
    </row>
    <row r="189" customFormat="false" ht="15" hidden="false" customHeight="false" outlineLevel="0" collapsed="false">
      <c r="B189" s="0" t="str">
        <f aca="false">HYPERLINK("https://genome.ucsc.edu/cgi-bin/hgTracks?db=hg19&amp;position=chr15%3A43268966%2D43268966", "chr15:43268966")</f>
        <v>chr15:43268966</v>
      </c>
      <c r="C189" s="0" t="s">
        <v>81</v>
      </c>
      <c r="D189" s="0" t="n">
        <v>43268966</v>
      </c>
      <c r="E189" s="0" t="n">
        <v>43268966</v>
      </c>
      <c r="F189" s="0" t="s">
        <v>69</v>
      </c>
      <c r="G189" s="0" t="s">
        <v>57</v>
      </c>
      <c r="H189" s="0" t="s">
        <v>1126</v>
      </c>
      <c r="I189" s="0" t="s">
        <v>618</v>
      </c>
      <c r="J189" s="0" t="s">
        <v>1127</v>
      </c>
      <c r="K189" s="0" t="s">
        <v>46</v>
      </c>
      <c r="L189" s="0" t="str">
        <f aca="false">HYPERLINK("https://www.ncbi.nlm.nih.gov/snp/rs758341705", "rs758341705")</f>
        <v>rs758341705</v>
      </c>
      <c r="M189" s="0" t="str">
        <f aca="false">HYPERLINK("https://www.genecards.org/Search/Keyword?queryString=%5Baliases%5D(%20UBR1%20)&amp;keywords=UBR1", "UBR1")</f>
        <v>UBR1</v>
      </c>
      <c r="N189" s="0" t="s">
        <v>98</v>
      </c>
      <c r="O189" s="0" t="s">
        <v>99</v>
      </c>
      <c r="P189" s="0" t="s">
        <v>1128</v>
      </c>
      <c r="Q189" s="0" t="n">
        <v>1.29E-005</v>
      </c>
      <c r="R189" s="0" t="n">
        <v>-1</v>
      </c>
      <c r="S189" s="0" t="n">
        <v>-1</v>
      </c>
      <c r="T189" s="0" t="n">
        <v>-1</v>
      </c>
      <c r="U189" s="0" t="n">
        <v>-1</v>
      </c>
      <c r="V189" s="0" t="s">
        <v>608</v>
      </c>
      <c r="W189" s="0" t="s">
        <v>46</v>
      </c>
      <c r="X189" s="0" t="s">
        <v>46</v>
      </c>
      <c r="Y189" s="0" t="s">
        <v>46</v>
      </c>
      <c r="Z189" s="0" t="s">
        <v>481</v>
      </c>
      <c r="AA189" s="0" t="s">
        <v>171</v>
      </c>
      <c r="AB189" s="0" t="s">
        <v>46</v>
      </c>
      <c r="AC189" s="0" t="s">
        <v>51</v>
      </c>
      <c r="AD189" s="0" t="s">
        <v>52</v>
      </c>
      <c r="AE189" s="0" t="s">
        <v>1129</v>
      </c>
      <c r="AF189" s="0" t="s">
        <v>1130</v>
      </c>
      <c r="AG189" s="0" t="s">
        <v>1131</v>
      </c>
      <c r="AH189" s="0" t="s">
        <v>1132</v>
      </c>
      <c r="AI189" s="0" t="s">
        <v>46</v>
      </c>
      <c r="AJ189" s="0" t="s">
        <v>46</v>
      </c>
      <c r="AK189" s="0" t="s">
        <v>46</v>
      </c>
      <c r="AL189" s="0" t="s">
        <v>46</v>
      </c>
    </row>
    <row r="190" customFormat="false" ht="15" hidden="false" customHeight="false" outlineLevel="0" collapsed="false">
      <c r="B190" s="0" t="str">
        <f aca="false">HYPERLINK("https://genome.ucsc.edu/cgi-bin/hgTracks?db=hg19&amp;position=chr15%3A44180419%2D44180419", "chr15:44180419")</f>
        <v>chr15:44180419</v>
      </c>
      <c r="C190" s="0" t="s">
        <v>81</v>
      </c>
      <c r="D190" s="0" t="n">
        <v>44180419</v>
      </c>
      <c r="E190" s="0" t="n">
        <v>44180419</v>
      </c>
      <c r="F190" s="0" t="s">
        <v>57</v>
      </c>
      <c r="G190" s="0" t="s">
        <v>69</v>
      </c>
      <c r="H190" s="0" t="s">
        <v>1133</v>
      </c>
      <c r="I190" s="0" t="s">
        <v>842</v>
      </c>
      <c r="J190" s="0" t="s">
        <v>1134</v>
      </c>
      <c r="K190" s="0" t="s">
        <v>46</v>
      </c>
      <c r="L190" s="0" t="s">
        <v>46</v>
      </c>
      <c r="M190" s="0" t="str">
        <f aca="false">HYPERLINK("https://www.genecards.org/Search/Keyword?queryString=%5Baliases%5D(%20FRMD5%20)&amp;keywords=FRMD5", "FRMD5")</f>
        <v>FRMD5</v>
      </c>
      <c r="N190" s="0" t="s">
        <v>98</v>
      </c>
      <c r="O190" s="0" t="s">
        <v>99</v>
      </c>
      <c r="P190" s="0" t="s">
        <v>1135</v>
      </c>
      <c r="Q190" s="0" t="n">
        <v>-1</v>
      </c>
      <c r="R190" s="0" t="n">
        <v>-1</v>
      </c>
      <c r="S190" s="0" t="n">
        <v>-1</v>
      </c>
      <c r="T190" s="0" t="n">
        <v>-1</v>
      </c>
      <c r="U190" s="0" t="n">
        <v>-1</v>
      </c>
      <c r="V190" s="0" t="s">
        <v>697</v>
      </c>
      <c r="W190" s="0" t="s">
        <v>46</v>
      </c>
      <c r="X190" s="0" t="s">
        <v>46</v>
      </c>
      <c r="Y190" s="0" t="s">
        <v>46</v>
      </c>
      <c r="Z190" s="0" t="s">
        <v>183</v>
      </c>
      <c r="AA190" s="0" t="s">
        <v>171</v>
      </c>
      <c r="AB190" s="0" t="s">
        <v>46</v>
      </c>
      <c r="AC190" s="0" t="s">
        <v>51</v>
      </c>
      <c r="AD190" s="0" t="s">
        <v>856</v>
      </c>
      <c r="AE190" s="0" t="s">
        <v>1136</v>
      </c>
      <c r="AF190" s="0" t="s">
        <v>1137</v>
      </c>
      <c r="AG190" s="0" t="s">
        <v>46</v>
      </c>
      <c r="AH190" s="0" t="s">
        <v>46</v>
      </c>
      <c r="AI190" s="0" t="s">
        <v>46</v>
      </c>
      <c r="AJ190" s="0" t="s">
        <v>46</v>
      </c>
      <c r="AK190" s="0" t="s">
        <v>46</v>
      </c>
      <c r="AL190" s="0" t="s">
        <v>46</v>
      </c>
    </row>
    <row r="191" customFormat="false" ht="15" hidden="false" customHeight="false" outlineLevel="0" collapsed="false">
      <c r="B191" s="0" t="str">
        <f aca="false">HYPERLINK("https://genome.ucsc.edu/cgi-bin/hgTracks?db=hg19&amp;position=chr15%3A44184197%2D44184197", "chr15:44184197")</f>
        <v>chr15:44184197</v>
      </c>
      <c r="C191" s="0" t="s">
        <v>81</v>
      </c>
      <c r="D191" s="0" t="n">
        <v>44184197</v>
      </c>
      <c r="E191" s="0" t="n">
        <v>44184197</v>
      </c>
      <c r="F191" s="0" t="s">
        <v>39</v>
      </c>
      <c r="G191" s="0" t="s">
        <v>40</v>
      </c>
      <c r="H191" s="0" t="s">
        <v>1138</v>
      </c>
      <c r="I191" s="0" t="s">
        <v>689</v>
      </c>
      <c r="J191" s="0" t="s">
        <v>1139</v>
      </c>
      <c r="K191" s="0" t="s">
        <v>46</v>
      </c>
      <c r="L191" s="0" t="str">
        <f aca="false">HYPERLINK("https://www.ncbi.nlm.nih.gov/snp/rs112105930", "rs112105930")</f>
        <v>rs112105930</v>
      </c>
      <c r="M191" s="0" t="str">
        <f aca="false">HYPERLINK("https://www.genecards.org/Search/Keyword?queryString=%5Baliases%5D(%20FRMD5%20)&amp;keywords=FRMD5", "FRMD5")</f>
        <v>FRMD5</v>
      </c>
      <c r="N191" s="0" t="s">
        <v>98</v>
      </c>
      <c r="O191" s="0" t="s">
        <v>99</v>
      </c>
      <c r="P191" s="0" t="s">
        <v>1140</v>
      </c>
      <c r="Q191" s="0" t="n">
        <v>0.0055</v>
      </c>
      <c r="R191" s="0" t="n">
        <v>0.006</v>
      </c>
      <c r="S191" s="0" t="n">
        <v>0.0056</v>
      </c>
      <c r="T191" s="0" t="n">
        <v>-1</v>
      </c>
      <c r="U191" s="0" t="n">
        <v>0.0053</v>
      </c>
      <c r="V191" s="0" t="s">
        <v>194</v>
      </c>
      <c r="W191" s="0" t="s">
        <v>46</v>
      </c>
      <c r="X191" s="0" t="s">
        <v>46</v>
      </c>
      <c r="Y191" s="0" t="s">
        <v>46</v>
      </c>
      <c r="Z191" s="0" t="s">
        <v>102</v>
      </c>
      <c r="AA191" s="0" t="s">
        <v>171</v>
      </c>
      <c r="AB191" s="0" t="s">
        <v>46</v>
      </c>
      <c r="AC191" s="0" t="s">
        <v>51</v>
      </c>
      <c r="AD191" s="0" t="s">
        <v>856</v>
      </c>
      <c r="AE191" s="0" t="s">
        <v>1136</v>
      </c>
      <c r="AF191" s="0" t="s">
        <v>1137</v>
      </c>
      <c r="AG191" s="0" t="s">
        <v>46</v>
      </c>
      <c r="AH191" s="0" t="s">
        <v>46</v>
      </c>
      <c r="AI191" s="0" t="s">
        <v>46</v>
      </c>
      <c r="AJ191" s="0" t="s">
        <v>46</v>
      </c>
      <c r="AK191" s="0" t="s">
        <v>46</v>
      </c>
      <c r="AL191" s="0" t="s">
        <v>46</v>
      </c>
    </row>
    <row r="192" customFormat="false" ht="15" hidden="false" customHeight="false" outlineLevel="0" collapsed="false">
      <c r="B192" s="0" t="str">
        <f aca="false">HYPERLINK("https://genome.ucsc.edu/cgi-bin/hgTracks?db=hg19&amp;position=chr15%3A44624202%2D44624202", "chr15:44624202")</f>
        <v>chr15:44624202</v>
      </c>
      <c r="C192" s="0" t="s">
        <v>81</v>
      </c>
      <c r="D192" s="0" t="n">
        <v>44624202</v>
      </c>
      <c r="E192" s="0" t="n">
        <v>44624202</v>
      </c>
      <c r="F192" s="0" t="s">
        <v>39</v>
      </c>
      <c r="G192" s="0" t="s">
        <v>40</v>
      </c>
      <c r="H192" s="0" t="s">
        <v>775</v>
      </c>
      <c r="I192" s="0" t="s">
        <v>311</v>
      </c>
      <c r="J192" s="0" t="s">
        <v>1141</v>
      </c>
      <c r="K192" s="0" t="s">
        <v>46</v>
      </c>
      <c r="L192" s="0" t="s">
        <v>46</v>
      </c>
      <c r="M192" s="0" t="str">
        <f aca="false">HYPERLINK("https://www.genecards.org/Search/Keyword?queryString=%5Baliases%5D(%20CASC4%20)%20OR%20%5Baliases%5D(%20GOLM2%20)&amp;keywords=CASC4,GOLM2", "CASC4;GOLM2")</f>
        <v>CASC4;GOLM2</v>
      </c>
      <c r="N192" s="0" t="s">
        <v>98</v>
      </c>
      <c r="O192" s="0" t="s">
        <v>371</v>
      </c>
      <c r="P192" s="0" t="s">
        <v>1142</v>
      </c>
      <c r="Q192" s="0" t="n">
        <v>-1</v>
      </c>
      <c r="R192" s="0" t="n">
        <v>-1</v>
      </c>
      <c r="S192" s="0" t="n">
        <v>-1</v>
      </c>
      <c r="T192" s="0" t="n">
        <v>-1</v>
      </c>
      <c r="U192" s="0" t="n">
        <v>-1</v>
      </c>
      <c r="V192" s="0" t="s">
        <v>1143</v>
      </c>
      <c r="W192" s="0" t="s">
        <v>46</v>
      </c>
      <c r="X192" s="0" t="s">
        <v>46</v>
      </c>
      <c r="Y192" s="0" t="s">
        <v>46</v>
      </c>
      <c r="Z192" s="0" t="s">
        <v>102</v>
      </c>
      <c r="AA192" s="0" t="s">
        <v>171</v>
      </c>
      <c r="AB192" s="0" t="s">
        <v>46</v>
      </c>
      <c r="AC192" s="0" t="s">
        <v>51</v>
      </c>
      <c r="AD192" s="0" t="s">
        <v>437</v>
      </c>
      <c r="AE192" s="0" t="s">
        <v>1144</v>
      </c>
      <c r="AF192" s="0" t="s">
        <v>1145</v>
      </c>
      <c r="AG192" s="0" t="s">
        <v>46</v>
      </c>
      <c r="AH192" s="0" t="s">
        <v>46</v>
      </c>
      <c r="AI192" s="0" t="s">
        <v>46</v>
      </c>
      <c r="AJ192" s="0" t="s">
        <v>46</v>
      </c>
      <c r="AK192" s="0" t="s">
        <v>46</v>
      </c>
      <c r="AL192" s="0" t="s">
        <v>46</v>
      </c>
    </row>
    <row r="193" customFormat="false" ht="15" hidden="false" customHeight="false" outlineLevel="0" collapsed="false">
      <c r="B193" s="0" t="str">
        <f aca="false">HYPERLINK("https://genome.ucsc.edu/cgi-bin/hgTracks?db=hg19&amp;position=chr15%3A52029804%2D52029804", "chr15:52029804")</f>
        <v>chr15:52029804</v>
      </c>
      <c r="C193" s="0" t="s">
        <v>81</v>
      </c>
      <c r="D193" s="0" t="n">
        <v>52029804</v>
      </c>
      <c r="E193" s="0" t="n">
        <v>52029804</v>
      </c>
      <c r="F193" s="0" t="s">
        <v>69</v>
      </c>
      <c r="G193" s="0" t="s">
        <v>39</v>
      </c>
      <c r="H193" s="0" t="s">
        <v>254</v>
      </c>
      <c r="I193" s="0" t="s">
        <v>1146</v>
      </c>
      <c r="J193" s="0" t="s">
        <v>1147</v>
      </c>
      <c r="K193" s="0" t="s">
        <v>46</v>
      </c>
      <c r="L193" s="0" t="str">
        <f aca="false">HYPERLINK("https://www.ncbi.nlm.nih.gov/snp/rs1812762", "rs1812762")</f>
        <v>rs1812762</v>
      </c>
      <c r="M193" s="0" t="str">
        <f aca="false">HYPERLINK("https://www.genecards.org/Search/Keyword?queryString=%5Baliases%5D(%20LYSMD2%20)&amp;keywords=LYSMD2", "LYSMD2")</f>
        <v>LYSMD2</v>
      </c>
      <c r="N193" s="0" t="s">
        <v>98</v>
      </c>
      <c r="O193" s="0" t="s">
        <v>99</v>
      </c>
      <c r="P193" s="0" t="s">
        <v>1148</v>
      </c>
      <c r="Q193" s="0" t="n">
        <v>0.0272</v>
      </c>
      <c r="R193" s="0" t="n">
        <v>0.0184</v>
      </c>
      <c r="S193" s="0" t="n">
        <v>0.0221</v>
      </c>
      <c r="T193" s="0" t="n">
        <v>-1</v>
      </c>
      <c r="U193" s="0" t="n">
        <v>0.0217</v>
      </c>
      <c r="V193" s="0" t="s">
        <v>1149</v>
      </c>
      <c r="W193" s="0" t="s">
        <v>46</v>
      </c>
      <c r="X193" s="0" t="s">
        <v>46</v>
      </c>
      <c r="Y193" s="0" t="s">
        <v>46</v>
      </c>
      <c r="Z193" s="0" t="s">
        <v>138</v>
      </c>
      <c r="AA193" s="0" t="s">
        <v>171</v>
      </c>
      <c r="AB193" s="0" t="s">
        <v>46</v>
      </c>
      <c r="AC193" s="0" t="s">
        <v>51</v>
      </c>
      <c r="AD193" s="0" t="s">
        <v>52</v>
      </c>
      <c r="AE193" s="0" t="s">
        <v>1150</v>
      </c>
      <c r="AF193" s="0" t="s">
        <v>1151</v>
      </c>
      <c r="AG193" s="0" t="s">
        <v>46</v>
      </c>
      <c r="AH193" s="0" t="s">
        <v>46</v>
      </c>
      <c r="AI193" s="0" t="s">
        <v>46</v>
      </c>
      <c r="AJ193" s="0" t="s">
        <v>46</v>
      </c>
      <c r="AK193" s="0" t="s">
        <v>46</v>
      </c>
      <c r="AL193" s="0" t="s">
        <v>46</v>
      </c>
    </row>
    <row r="194" customFormat="false" ht="15" hidden="false" customHeight="false" outlineLevel="0" collapsed="false">
      <c r="B194" s="0" t="str">
        <f aca="false">HYPERLINK("https://genome.ucsc.edu/cgi-bin/hgTracks?db=hg19&amp;position=chr15%3A79092613%2D79092613", "chr15:79092613")</f>
        <v>chr15:79092613</v>
      </c>
      <c r="C194" s="0" t="s">
        <v>81</v>
      </c>
      <c r="D194" s="0" t="n">
        <v>79092613</v>
      </c>
      <c r="E194" s="0" t="n">
        <v>79092613</v>
      </c>
      <c r="F194" s="0" t="s">
        <v>69</v>
      </c>
      <c r="G194" s="0" t="s">
        <v>57</v>
      </c>
      <c r="H194" s="0" t="s">
        <v>1152</v>
      </c>
      <c r="I194" s="0" t="s">
        <v>527</v>
      </c>
      <c r="J194" s="0" t="s">
        <v>1153</v>
      </c>
      <c r="K194" s="0" t="s">
        <v>46</v>
      </c>
      <c r="L194" s="0" t="str">
        <f aca="false">HYPERLINK("https://www.ncbi.nlm.nih.gov/snp/rs61754850", "rs61754850")</f>
        <v>rs61754850</v>
      </c>
      <c r="M194" s="0" t="str">
        <f aca="false">HYPERLINK("https://www.genecards.org/Search/Keyword?queryString=%5Baliases%5D(%20ADAMTS7%20)&amp;keywords=ADAMTS7", "ADAMTS7")</f>
        <v>ADAMTS7</v>
      </c>
      <c r="N194" s="0" t="s">
        <v>98</v>
      </c>
      <c r="O194" s="0" t="s">
        <v>99</v>
      </c>
      <c r="P194" s="0" t="s">
        <v>1154</v>
      </c>
      <c r="Q194" s="0" t="n">
        <v>0.008547</v>
      </c>
      <c r="R194" s="0" t="n">
        <v>0.0055</v>
      </c>
      <c r="S194" s="0" t="n">
        <v>0.0054</v>
      </c>
      <c r="T194" s="0" t="n">
        <v>-1</v>
      </c>
      <c r="U194" s="0" t="n">
        <v>0.0067</v>
      </c>
      <c r="V194" s="0" t="s">
        <v>215</v>
      </c>
      <c r="W194" s="0" t="s">
        <v>46</v>
      </c>
      <c r="X194" s="0" t="s">
        <v>46</v>
      </c>
      <c r="Y194" s="0" t="s">
        <v>46</v>
      </c>
      <c r="Z194" s="0" t="s">
        <v>49</v>
      </c>
      <c r="AA194" s="0" t="s">
        <v>171</v>
      </c>
      <c r="AB194" s="0" t="s">
        <v>46</v>
      </c>
      <c r="AC194" s="0" t="s">
        <v>51</v>
      </c>
      <c r="AD194" s="0" t="s">
        <v>52</v>
      </c>
      <c r="AE194" s="0" t="s">
        <v>1155</v>
      </c>
      <c r="AF194" s="0" t="s">
        <v>1156</v>
      </c>
      <c r="AG194" s="0" t="s">
        <v>1157</v>
      </c>
      <c r="AH194" s="0" t="s">
        <v>46</v>
      </c>
      <c r="AI194" s="0" t="s">
        <v>46</v>
      </c>
      <c r="AJ194" s="0" t="s">
        <v>46</v>
      </c>
      <c r="AK194" s="0" t="s">
        <v>46</v>
      </c>
      <c r="AL194" s="0" t="s">
        <v>609</v>
      </c>
    </row>
    <row r="195" customFormat="false" ht="15" hidden="false" customHeight="false" outlineLevel="0" collapsed="false">
      <c r="B195" s="0" t="str">
        <f aca="false">HYPERLINK("https://genome.ucsc.edu/cgi-bin/hgTracks?db=hg19&amp;position=chr16%3A602371%2D602371", "chr16:602371")</f>
        <v>chr16:602371</v>
      </c>
      <c r="C195" s="0" t="s">
        <v>271</v>
      </c>
      <c r="D195" s="0" t="n">
        <v>602371</v>
      </c>
      <c r="E195" s="0" t="n">
        <v>602371</v>
      </c>
      <c r="F195" s="0" t="s">
        <v>69</v>
      </c>
      <c r="G195" s="0" t="s">
        <v>57</v>
      </c>
      <c r="H195" s="0" t="s">
        <v>1158</v>
      </c>
      <c r="I195" s="0" t="s">
        <v>320</v>
      </c>
      <c r="J195" s="0" t="s">
        <v>1159</v>
      </c>
      <c r="K195" s="0" t="s">
        <v>46</v>
      </c>
      <c r="L195" s="0" t="str">
        <f aca="false">HYPERLINK("https://www.ncbi.nlm.nih.gov/snp/rs529407180", "rs529407180")</f>
        <v>rs529407180</v>
      </c>
      <c r="M195" s="0" t="str">
        <f aca="false">HYPERLINK("https://www.genecards.org/Search/Keyword?queryString=%5Baliases%5D(%20CAPN15%20)%20OR%20%5Baliases%5D(%20SOLH%20)&amp;keywords=CAPN15,SOLH", "CAPN15;SOLH")</f>
        <v>CAPN15;SOLH</v>
      </c>
      <c r="N195" s="0" t="s">
        <v>98</v>
      </c>
      <c r="O195" s="0" t="s">
        <v>99</v>
      </c>
      <c r="P195" s="0" t="s">
        <v>1160</v>
      </c>
      <c r="Q195" s="0" t="n">
        <v>0.0014</v>
      </c>
      <c r="R195" s="0" t="n">
        <v>-1</v>
      </c>
      <c r="S195" s="0" t="n">
        <v>7.371E-005</v>
      </c>
      <c r="T195" s="0" t="n">
        <v>-1</v>
      </c>
      <c r="U195" s="0" t="n">
        <v>-1</v>
      </c>
      <c r="V195" s="0" t="s">
        <v>170</v>
      </c>
      <c r="W195" s="0" t="s">
        <v>46</v>
      </c>
      <c r="X195" s="0" t="s">
        <v>46</v>
      </c>
      <c r="Y195" s="0" t="s">
        <v>46</v>
      </c>
      <c r="Z195" s="0" t="s">
        <v>159</v>
      </c>
      <c r="AA195" s="0" t="s">
        <v>171</v>
      </c>
      <c r="AB195" s="0" t="s">
        <v>46</v>
      </c>
      <c r="AC195" s="0" t="s">
        <v>51</v>
      </c>
      <c r="AD195" s="0" t="s">
        <v>437</v>
      </c>
      <c r="AE195" s="0" t="s">
        <v>1161</v>
      </c>
      <c r="AF195" s="0" t="s">
        <v>1162</v>
      </c>
      <c r="AG195" s="0" t="s">
        <v>46</v>
      </c>
      <c r="AH195" s="0" t="s">
        <v>46</v>
      </c>
      <c r="AI195" s="0" t="s">
        <v>46</v>
      </c>
      <c r="AJ195" s="0" t="s">
        <v>46</v>
      </c>
      <c r="AK195" s="0" t="s">
        <v>46</v>
      </c>
      <c r="AL195" s="0" t="s">
        <v>46</v>
      </c>
    </row>
    <row r="196" customFormat="false" ht="15" hidden="false" customHeight="false" outlineLevel="0" collapsed="false">
      <c r="B196" s="0" t="str">
        <f aca="false">HYPERLINK("https://genome.ucsc.edu/cgi-bin/hgTracks?db=hg19&amp;position=chr16%3A780942%2D780942", "chr16:780942")</f>
        <v>chr16:780942</v>
      </c>
      <c r="C196" s="0" t="s">
        <v>271</v>
      </c>
      <c r="D196" s="0" t="n">
        <v>780942</v>
      </c>
      <c r="E196" s="0" t="n">
        <v>780942</v>
      </c>
      <c r="F196" s="0" t="s">
        <v>39</v>
      </c>
      <c r="G196" s="0" t="s">
        <v>40</v>
      </c>
      <c r="H196" s="0" t="s">
        <v>1163</v>
      </c>
      <c r="I196" s="0" t="s">
        <v>571</v>
      </c>
      <c r="J196" s="0" t="s">
        <v>1164</v>
      </c>
      <c r="K196" s="0" t="s">
        <v>46</v>
      </c>
      <c r="L196" s="0" t="str">
        <f aca="false">HYPERLINK("https://www.ncbi.nlm.nih.gov/snp/rs147538611", "rs147538611")</f>
        <v>rs147538611</v>
      </c>
      <c r="M196" s="0" t="str">
        <f aca="false">HYPERLINK("https://www.genecards.org/Search/Keyword?queryString=%5Baliases%5D(%20CIAO3%20)%20OR%20%5Baliases%5D(%20NARFL%20)&amp;keywords=CIAO3,NARFL", "CIAO3;NARFL")</f>
        <v>CIAO3;NARFL</v>
      </c>
      <c r="N196" s="0" t="s">
        <v>98</v>
      </c>
      <c r="O196" s="0" t="s">
        <v>99</v>
      </c>
      <c r="P196" s="0" t="s">
        <v>1165</v>
      </c>
      <c r="Q196" s="0" t="n">
        <v>0.005051</v>
      </c>
      <c r="R196" s="0" t="n">
        <v>0.0002</v>
      </c>
      <c r="S196" s="0" t="n">
        <v>0.0006</v>
      </c>
      <c r="T196" s="0" t="n">
        <v>-1</v>
      </c>
      <c r="U196" s="0" t="n">
        <v>0.0002</v>
      </c>
      <c r="V196" s="0" t="s">
        <v>101</v>
      </c>
      <c r="W196" s="0" t="s">
        <v>46</v>
      </c>
      <c r="X196" s="0" t="s">
        <v>46</v>
      </c>
      <c r="Y196" s="0" t="s">
        <v>46</v>
      </c>
      <c r="Z196" s="0" t="s">
        <v>102</v>
      </c>
      <c r="AA196" s="0" t="s">
        <v>171</v>
      </c>
      <c r="AB196" s="0" t="s">
        <v>46</v>
      </c>
      <c r="AC196" s="0" t="s">
        <v>51</v>
      </c>
      <c r="AD196" s="0" t="s">
        <v>437</v>
      </c>
      <c r="AE196" s="0" t="s">
        <v>1166</v>
      </c>
      <c r="AF196" s="0" t="s">
        <v>1167</v>
      </c>
      <c r="AG196" s="0" t="s">
        <v>1168</v>
      </c>
      <c r="AH196" s="0" t="s">
        <v>46</v>
      </c>
      <c r="AI196" s="0" t="s">
        <v>46</v>
      </c>
      <c r="AJ196" s="0" t="s">
        <v>46</v>
      </c>
      <c r="AK196" s="0" t="s">
        <v>46</v>
      </c>
      <c r="AL196" s="0" t="s">
        <v>46</v>
      </c>
    </row>
    <row r="197" customFormat="false" ht="15" hidden="false" customHeight="false" outlineLevel="0" collapsed="false">
      <c r="B197" s="0" t="str">
        <f aca="false">HYPERLINK("https://genome.ucsc.edu/cgi-bin/hgTracks?db=hg19&amp;position=chr16%3A2026243%2D2026243", "chr16:2026243")</f>
        <v>chr16:2026243</v>
      </c>
      <c r="C197" s="0" t="s">
        <v>271</v>
      </c>
      <c r="D197" s="0" t="n">
        <v>2026243</v>
      </c>
      <c r="E197" s="0" t="n">
        <v>2026243</v>
      </c>
      <c r="F197" s="0" t="s">
        <v>57</v>
      </c>
      <c r="G197" s="0" t="s">
        <v>40</v>
      </c>
      <c r="H197" s="0" t="s">
        <v>1169</v>
      </c>
      <c r="I197" s="0" t="s">
        <v>752</v>
      </c>
      <c r="J197" s="0" t="s">
        <v>1170</v>
      </c>
      <c r="K197" s="0" t="s">
        <v>46</v>
      </c>
      <c r="L197" s="0" t="str">
        <f aca="false">HYPERLINK("https://www.ncbi.nlm.nih.gov/snp/rs745653251", "rs745653251")</f>
        <v>rs745653251</v>
      </c>
      <c r="M197" s="0" t="str">
        <f aca="false">HYPERLINK("https://www.genecards.org/Search/Keyword?queryString=%5Baliases%5D(%20TBL3%20)&amp;keywords=TBL3", "TBL3")</f>
        <v>TBL3</v>
      </c>
      <c r="N197" s="0" t="s">
        <v>98</v>
      </c>
      <c r="O197" s="0" t="s">
        <v>99</v>
      </c>
      <c r="P197" s="0" t="s">
        <v>1171</v>
      </c>
      <c r="Q197" s="0" t="n">
        <v>0.0001358</v>
      </c>
      <c r="R197" s="0" t="n">
        <v>-1</v>
      </c>
      <c r="S197" s="0" t="n">
        <v>-1</v>
      </c>
      <c r="T197" s="0" t="n">
        <v>-1</v>
      </c>
      <c r="U197" s="0" t="n">
        <v>-1</v>
      </c>
      <c r="V197" s="0" t="s">
        <v>215</v>
      </c>
      <c r="W197" s="0" t="s">
        <v>46</v>
      </c>
      <c r="X197" s="0" t="s">
        <v>46</v>
      </c>
      <c r="Y197" s="0" t="s">
        <v>46</v>
      </c>
      <c r="Z197" s="0" t="s">
        <v>231</v>
      </c>
      <c r="AA197" s="0" t="s">
        <v>171</v>
      </c>
      <c r="AB197" s="0" t="s">
        <v>46</v>
      </c>
      <c r="AC197" s="0" t="s">
        <v>51</v>
      </c>
      <c r="AD197" s="0" t="s">
        <v>52</v>
      </c>
      <c r="AE197" s="0" t="s">
        <v>1172</v>
      </c>
      <c r="AF197" s="0" t="s">
        <v>1173</v>
      </c>
      <c r="AG197" s="0" t="s">
        <v>46</v>
      </c>
      <c r="AH197" s="0" t="s">
        <v>46</v>
      </c>
      <c r="AI197" s="0" t="s">
        <v>301</v>
      </c>
      <c r="AJ197" s="0" t="s">
        <v>46</v>
      </c>
      <c r="AK197" s="0" t="s">
        <v>46</v>
      </c>
      <c r="AL197" s="0" t="s">
        <v>46</v>
      </c>
    </row>
    <row r="198" customFormat="false" ht="15" hidden="false" customHeight="false" outlineLevel="0" collapsed="false">
      <c r="B198" s="0" t="str">
        <f aca="false">HYPERLINK("https://genome.ucsc.edu/cgi-bin/hgTracks?db=hg19&amp;position=chr16%3A3293308%2D3293308", "chr16:3293308")</f>
        <v>chr16:3293308</v>
      </c>
      <c r="C198" s="0" t="s">
        <v>271</v>
      </c>
      <c r="D198" s="0" t="n">
        <v>3293308</v>
      </c>
      <c r="E198" s="0" t="n">
        <v>3293308</v>
      </c>
      <c r="F198" s="0" t="s">
        <v>39</v>
      </c>
      <c r="G198" s="0" t="s">
        <v>69</v>
      </c>
      <c r="H198" s="0" t="s">
        <v>1174</v>
      </c>
      <c r="I198" s="0" t="s">
        <v>1175</v>
      </c>
      <c r="J198" s="0" t="s">
        <v>1176</v>
      </c>
      <c r="K198" s="0" t="s">
        <v>46</v>
      </c>
      <c r="L198" s="0" t="s">
        <v>46</v>
      </c>
      <c r="M198" s="0" t="str">
        <f aca="false">HYPERLINK("https://www.genecards.org/Search/Keyword?queryString=%5Baliases%5D(%20MEFV%20)&amp;keywords=MEFV", "MEFV")</f>
        <v>MEFV</v>
      </c>
      <c r="N198" s="0" t="s">
        <v>98</v>
      </c>
      <c r="O198" s="0" t="s">
        <v>99</v>
      </c>
      <c r="P198" s="0" t="s">
        <v>1177</v>
      </c>
      <c r="Q198" s="0" t="n">
        <v>-1</v>
      </c>
      <c r="R198" s="0" t="n">
        <v>-1</v>
      </c>
      <c r="S198" s="0" t="n">
        <v>-1</v>
      </c>
      <c r="T198" s="0" t="n">
        <v>-1</v>
      </c>
      <c r="U198" s="0" t="n">
        <v>-1</v>
      </c>
      <c r="V198" s="0" t="s">
        <v>596</v>
      </c>
      <c r="W198" s="0" t="s">
        <v>46</v>
      </c>
      <c r="X198" s="0" t="s">
        <v>46</v>
      </c>
      <c r="Y198" s="0" t="s">
        <v>46</v>
      </c>
      <c r="Z198" s="0" t="s">
        <v>49</v>
      </c>
      <c r="AA198" s="0" t="s">
        <v>171</v>
      </c>
      <c r="AB198" s="0" t="s">
        <v>46</v>
      </c>
      <c r="AC198" s="0" t="s">
        <v>51</v>
      </c>
      <c r="AD198" s="0" t="s">
        <v>52</v>
      </c>
      <c r="AE198" s="0" t="s">
        <v>1178</v>
      </c>
      <c r="AF198" s="0" t="s">
        <v>1179</v>
      </c>
      <c r="AG198" s="0" t="s">
        <v>1180</v>
      </c>
      <c r="AH198" s="0" t="s">
        <v>1181</v>
      </c>
      <c r="AI198" s="0" t="s">
        <v>46</v>
      </c>
      <c r="AJ198" s="0" t="s">
        <v>46</v>
      </c>
      <c r="AK198" s="0" t="s">
        <v>46</v>
      </c>
      <c r="AL198" s="0" t="s">
        <v>46</v>
      </c>
    </row>
    <row r="199" customFormat="false" ht="15" hidden="false" customHeight="false" outlineLevel="0" collapsed="false">
      <c r="B199" s="0" t="str">
        <f aca="false">HYPERLINK("https://genome.ucsc.edu/cgi-bin/hgTracks?db=hg19&amp;position=chr16%3A18865003%2D18865003", "chr16:18865003")</f>
        <v>chr16:18865003</v>
      </c>
      <c r="C199" s="0" t="s">
        <v>271</v>
      </c>
      <c r="D199" s="0" t="n">
        <v>18865003</v>
      </c>
      <c r="E199" s="0" t="n">
        <v>18865003</v>
      </c>
      <c r="F199" s="0" t="s">
        <v>39</v>
      </c>
      <c r="G199" s="0" t="s">
        <v>40</v>
      </c>
      <c r="H199" s="0" t="s">
        <v>406</v>
      </c>
      <c r="I199" s="0" t="s">
        <v>421</v>
      </c>
      <c r="J199" s="0" t="s">
        <v>1182</v>
      </c>
      <c r="K199" s="0" t="s">
        <v>46</v>
      </c>
      <c r="L199" s="0" t="str">
        <f aca="false">HYPERLINK("https://www.ncbi.nlm.nih.gov/snp/rs184038326", "rs184038326")</f>
        <v>rs184038326</v>
      </c>
      <c r="M199" s="0" t="str">
        <f aca="false">HYPERLINK("https://www.genecards.org/Search/Keyword?queryString=%5Baliases%5D(%20SMG1%20)&amp;keywords=SMG1", "SMG1")</f>
        <v>SMG1</v>
      </c>
      <c r="N199" s="0" t="s">
        <v>98</v>
      </c>
      <c r="O199" s="0" t="s">
        <v>99</v>
      </c>
      <c r="P199" s="0" t="s">
        <v>1183</v>
      </c>
      <c r="Q199" s="0" t="n">
        <v>0.0069</v>
      </c>
      <c r="R199" s="0" t="n">
        <v>0.0033</v>
      </c>
      <c r="S199" s="0" t="n">
        <v>0.0029</v>
      </c>
      <c r="T199" s="0" t="n">
        <v>-1</v>
      </c>
      <c r="U199" s="0" t="n">
        <v>0.0058</v>
      </c>
      <c r="V199" s="0" t="s">
        <v>170</v>
      </c>
      <c r="W199" s="0" t="s">
        <v>46</v>
      </c>
      <c r="X199" s="0" t="s">
        <v>46</v>
      </c>
      <c r="Y199" s="0" t="s">
        <v>46</v>
      </c>
      <c r="Z199" s="0" t="s">
        <v>102</v>
      </c>
      <c r="AA199" s="0" t="s">
        <v>171</v>
      </c>
      <c r="AB199" s="0" t="s">
        <v>46</v>
      </c>
      <c r="AC199" s="0" t="s">
        <v>51</v>
      </c>
      <c r="AD199" s="0" t="s">
        <v>52</v>
      </c>
      <c r="AE199" s="0" t="s">
        <v>1184</v>
      </c>
      <c r="AF199" s="0" t="s">
        <v>1185</v>
      </c>
      <c r="AG199" s="0" t="s">
        <v>1186</v>
      </c>
      <c r="AH199" s="0" t="s">
        <v>46</v>
      </c>
      <c r="AI199" s="0" t="s">
        <v>46</v>
      </c>
      <c r="AJ199" s="0" t="s">
        <v>46</v>
      </c>
      <c r="AK199" s="0" t="s">
        <v>46</v>
      </c>
      <c r="AL199" s="0" t="s">
        <v>46</v>
      </c>
    </row>
    <row r="200" customFormat="false" ht="15" hidden="false" customHeight="false" outlineLevel="0" collapsed="false">
      <c r="B200" s="0" t="str">
        <f aca="false">HYPERLINK("https://genome.ucsc.edu/cgi-bin/hgTracks?db=hg19&amp;position=chr16%3A19680518%2D19680518", "chr16:19680518")</f>
        <v>chr16:19680518</v>
      </c>
      <c r="C200" s="0" t="s">
        <v>271</v>
      </c>
      <c r="D200" s="0" t="n">
        <v>19680518</v>
      </c>
      <c r="E200" s="0" t="n">
        <v>19680518</v>
      </c>
      <c r="F200" s="0" t="s">
        <v>39</v>
      </c>
      <c r="G200" s="0" t="s">
        <v>40</v>
      </c>
      <c r="H200" s="0" t="s">
        <v>1187</v>
      </c>
      <c r="I200" s="0" t="s">
        <v>95</v>
      </c>
      <c r="J200" s="0" t="s">
        <v>1188</v>
      </c>
      <c r="K200" s="0" t="s">
        <v>46</v>
      </c>
      <c r="L200" s="0" t="str">
        <f aca="false">HYPERLINK("https://www.ncbi.nlm.nih.gov/snp/rs149898838", "rs149898838")</f>
        <v>rs149898838</v>
      </c>
      <c r="M200" s="0" t="str">
        <f aca="false">HYPERLINK("https://www.genecards.org/Search/Keyword?queryString=%5Baliases%5D(%20C16orf62%20)%20OR%20%5Baliases%5D(%20VPS35L%20)&amp;keywords=C16orf62,VPS35L", "C16orf62;VPS35L")</f>
        <v>C16orf62;VPS35L</v>
      </c>
      <c r="N200" s="0" t="s">
        <v>98</v>
      </c>
      <c r="O200" s="0" t="s">
        <v>99</v>
      </c>
      <c r="P200" s="0" t="s">
        <v>1189</v>
      </c>
      <c r="Q200" s="0" t="n">
        <v>0.0075</v>
      </c>
      <c r="R200" s="0" t="n">
        <v>0.0053</v>
      </c>
      <c r="S200" s="0" t="n">
        <v>0.0043</v>
      </c>
      <c r="T200" s="0" t="n">
        <v>-1</v>
      </c>
      <c r="U200" s="0" t="n">
        <v>0.0087</v>
      </c>
      <c r="V200" s="0" t="s">
        <v>194</v>
      </c>
      <c r="W200" s="0" t="s">
        <v>46</v>
      </c>
      <c r="X200" s="0" t="s">
        <v>46</v>
      </c>
      <c r="Y200" s="0" t="s">
        <v>46</v>
      </c>
      <c r="Z200" s="0" t="s">
        <v>102</v>
      </c>
      <c r="AA200" s="0" t="s">
        <v>171</v>
      </c>
      <c r="AB200" s="0" t="s">
        <v>46</v>
      </c>
      <c r="AC200" s="0" t="s">
        <v>1190</v>
      </c>
      <c r="AD200" s="0" t="s">
        <v>437</v>
      </c>
      <c r="AE200" s="0" t="s">
        <v>1191</v>
      </c>
      <c r="AF200" s="0" t="s">
        <v>1192</v>
      </c>
      <c r="AG200" s="0" t="s">
        <v>1193</v>
      </c>
      <c r="AH200" s="0" t="s">
        <v>46</v>
      </c>
      <c r="AI200" s="0" t="s">
        <v>46</v>
      </c>
      <c r="AJ200" s="0" t="s">
        <v>46</v>
      </c>
      <c r="AK200" s="0" t="s">
        <v>46</v>
      </c>
      <c r="AL200" s="0" t="s">
        <v>46</v>
      </c>
    </row>
    <row r="201" customFormat="false" ht="15" hidden="false" customHeight="false" outlineLevel="0" collapsed="false">
      <c r="B201" s="0" t="str">
        <f aca="false">HYPERLINK("https://genome.ucsc.edu/cgi-bin/hgTracks?db=hg19&amp;position=chr16%3A24953336%2D24953336", "chr16:24953336")</f>
        <v>chr16:24953336</v>
      </c>
      <c r="C201" s="0" t="s">
        <v>271</v>
      </c>
      <c r="D201" s="0" t="n">
        <v>24953336</v>
      </c>
      <c r="E201" s="0" t="n">
        <v>24953336</v>
      </c>
      <c r="F201" s="0" t="s">
        <v>40</v>
      </c>
      <c r="G201" s="0" t="s">
        <v>39</v>
      </c>
      <c r="H201" s="0" t="s">
        <v>1194</v>
      </c>
      <c r="I201" s="0" t="s">
        <v>872</v>
      </c>
      <c r="J201" s="0" t="s">
        <v>1195</v>
      </c>
      <c r="K201" s="0" t="s">
        <v>46</v>
      </c>
      <c r="L201" s="0" t="s">
        <v>46</v>
      </c>
      <c r="M201" s="0" t="str">
        <f aca="false">HYPERLINK("https://www.genecards.org/Search/Keyword?queryString=%5Baliases%5D(%20ARHGAP17%20)&amp;keywords=ARHGAP17", "ARHGAP17")</f>
        <v>ARHGAP17</v>
      </c>
      <c r="N201" s="0" t="s">
        <v>98</v>
      </c>
      <c r="O201" s="0" t="s">
        <v>99</v>
      </c>
      <c r="P201" s="0" t="s">
        <v>1196</v>
      </c>
      <c r="Q201" s="0" t="n">
        <v>-1</v>
      </c>
      <c r="R201" s="0" t="n">
        <v>-1</v>
      </c>
      <c r="S201" s="0" t="n">
        <v>-1</v>
      </c>
      <c r="T201" s="0" t="n">
        <v>-1</v>
      </c>
      <c r="U201" s="0" t="n">
        <v>-1</v>
      </c>
      <c r="V201" s="0" t="s">
        <v>767</v>
      </c>
      <c r="W201" s="0" t="s">
        <v>46</v>
      </c>
      <c r="X201" s="0" t="s">
        <v>46</v>
      </c>
      <c r="Y201" s="0" t="s">
        <v>46</v>
      </c>
      <c r="Z201" s="0" t="s">
        <v>102</v>
      </c>
      <c r="AA201" s="0" t="s">
        <v>171</v>
      </c>
      <c r="AB201" s="0" t="s">
        <v>46</v>
      </c>
      <c r="AC201" s="0" t="s">
        <v>51</v>
      </c>
      <c r="AD201" s="0" t="s">
        <v>52</v>
      </c>
      <c r="AE201" s="0" t="s">
        <v>1197</v>
      </c>
      <c r="AF201" s="0" t="s">
        <v>1198</v>
      </c>
      <c r="AG201" s="0" t="s">
        <v>1199</v>
      </c>
      <c r="AH201" s="0" t="s">
        <v>46</v>
      </c>
      <c r="AI201" s="0" t="s">
        <v>46</v>
      </c>
      <c r="AJ201" s="0" t="s">
        <v>46</v>
      </c>
      <c r="AK201" s="0" t="s">
        <v>46</v>
      </c>
      <c r="AL201" s="0" t="s">
        <v>46</v>
      </c>
    </row>
    <row r="202" customFormat="false" ht="15" hidden="false" customHeight="false" outlineLevel="0" collapsed="false">
      <c r="B202" s="0" t="str">
        <f aca="false">HYPERLINK("https://genome.ucsc.edu/cgi-bin/hgTracks?db=hg19&amp;position=chr16%3A28855326%2D28855326", "chr16:28855326")</f>
        <v>chr16:28855326</v>
      </c>
      <c r="C202" s="0" t="s">
        <v>271</v>
      </c>
      <c r="D202" s="0" t="n">
        <v>28855326</v>
      </c>
      <c r="E202" s="0" t="n">
        <v>28855326</v>
      </c>
      <c r="F202" s="0" t="s">
        <v>39</v>
      </c>
      <c r="G202" s="0" t="s">
        <v>40</v>
      </c>
      <c r="H202" s="0" t="s">
        <v>1200</v>
      </c>
      <c r="I202" s="0" t="s">
        <v>83</v>
      </c>
      <c r="J202" s="0" t="s">
        <v>1201</v>
      </c>
      <c r="K202" s="0" t="s">
        <v>46</v>
      </c>
      <c r="L202" s="0" t="s">
        <v>46</v>
      </c>
      <c r="M202" s="0" t="str">
        <f aca="false">HYPERLINK("https://www.genecards.org/Search/Keyword?queryString=%5Baliases%5D(%20TUFM%20)&amp;keywords=TUFM", "TUFM")</f>
        <v>TUFM</v>
      </c>
      <c r="N202" s="0" t="s">
        <v>98</v>
      </c>
      <c r="O202" s="0" t="s">
        <v>99</v>
      </c>
      <c r="P202" s="0" t="s">
        <v>1202</v>
      </c>
      <c r="Q202" s="0" t="n">
        <v>-1</v>
      </c>
      <c r="R202" s="0" t="n">
        <v>-1</v>
      </c>
      <c r="S202" s="0" t="n">
        <v>-1</v>
      </c>
      <c r="T202" s="0" t="n">
        <v>-1</v>
      </c>
      <c r="U202" s="0" t="n">
        <v>-1</v>
      </c>
      <c r="V202" s="0" t="s">
        <v>182</v>
      </c>
      <c r="W202" s="0" t="s">
        <v>46</v>
      </c>
      <c r="X202" s="0" t="s">
        <v>46</v>
      </c>
      <c r="Y202" s="0" t="s">
        <v>46</v>
      </c>
      <c r="Z202" s="0" t="s">
        <v>102</v>
      </c>
      <c r="AA202" s="0" t="s">
        <v>171</v>
      </c>
      <c r="AB202" s="0" t="s">
        <v>46</v>
      </c>
      <c r="AC202" s="0" t="s">
        <v>51</v>
      </c>
      <c r="AD202" s="0" t="s">
        <v>52</v>
      </c>
      <c r="AE202" s="0" t="s">
        <v>1203</v>
      </c>
      <c r="AF202" s="0" t="s">
        <v>1204</v>
      </c>
      <c r="AG202" s="0" t="s">
        <v>1205</v>
      </c>
      <c r="AH202" s="0" t="s">
        <v>1206</v>
      </c>
      <c r="AI202" s="0" t="s">
        <v>46</v>
      </c>
      <c r="AJ202" s="0" t="s">
        <v>46</v>
      </c>
      <c r="AK202" s="0" t="s">
        <v>46</v>
      </c>
      <c r="AL202" s="0" t="s">
        <v>46</v>
      </c>
    </row>
    <row r="203" customFormat="false" ht="15" hidden="false" customHeight="false" outlineLevel="0" collapsed="false">
      <c r="B203" s="0" t="str">
        <f aca="false">HYPERLINK("https://genome.ucsc.edu/cgi-bin/hgTracks?db=hg19&amp;position=chr16%3A54967598%2D54967598", "chr16:54967598")</f>
        <v>chr16:54967598</v>
      </c>
      <c r="C203" s="0" t="s">
        <v>271</v>
      </c>
      <c r="D203" s="0" t="n">
        <v>54967598</v>
      </c>
      <c r="E203" s="0" t="n">
        <v>54967598</v>
      </c>
      <c r="F203" s="0" t="s">
        <v>57</v>
      </c>
      <c r="G203" s="0" t="s">
        <v>69</v>
      </c>
      <c r="H203" s="0" t="s">
        <v>1207</v>
      </c>
      <c r="I203" s="0" t="s">
        <v>752</v>
      </c>
      <c r="J203" s="0" t="s">
        <v>1208</v>
      </c>
      <c r="K203" s="0" t="s">
        <v>46</v>
      </c>
      <c r="L203" s="0" t="str">
        <f aca="false">HYPERLINK("https://www.ncbi.nlm.nih.gov/snp/rs143660069", "rs143660069")</f>
        <v>rs143660069</v>
      </c>
      <c r="M203" s="0" t="str">
        <f aca="false">HYPERLINK("https://www.genecards.org/Search/Keyword?queryString=%5Baliases%5D(%20IRX5%20)&amp;keywords=IRX5", "IRX5")</f>
        <v>IRX5</v>
      </c>
      <c r="N203" s="0" t="s">
        <v>98</v>
      </c>
      <c r="O203" s="0" t="s">
        <v>99</v>
      </c>
      <c r="P203" s="0" t="s">
        <v>1209</v>
      </c>
      <c r="Q203" s="0" t="n">
        <v>0.0018</v>
      </c>
      <c r="R203" s="0" t="n">
        <v>0.0004</v>
      </c>
      <c r="S203" s="0" t="n">
        <v>0.0002</v>
      </c>
      <c r="T203" s="0" t="n">
        <v>-1</v>
      </c>
      <c r="U203" s="0" t="n">
        <v>0.0005</v>
      </c>
      <c r="V203" s="0" t="s">
        <v>170</v>
      </c>
      <c r="W203" s="0" t="s">
        <v>46</v>
      </c>
      <c r="X203" s="0" t="s">
        <v>46</v>
      </c>
      <c r="Y203" s="0" t="s">
        <v>46</v>
      </c>
      <c r="Z203" s="0" t="s">
        <v>138</v>
      </c>
      <c r="AA203" s="0" t="s">
        <v>171</v>
      </c>
      <c r="AB203" s="0" t="s">
        <v>46</v>
      </c>
      <c r="AC203" s="0" t="s">
        <v>51</v>
      </c>
      <c r="AD203" s="0" t="s">
        <v>52</v>
      </c>
      <c r="AE203" s="0" t="s">
        <v>46</v>
      </c>
      <c r="AF203" s="0" t="s">
        <v>1210</v>
      </c>
      <c r="AG203" s="0" t="s">
        <v>1211</v>
      </c>
      <c r="AH203" s="0" t="s">
        <v>1212</v>
      </c>
      <c r="AI203" s="0" t="s">
        <v>46</v>
      </c>
      <c r="AJ203" s="0" t="s">
        <v>46</v>
      </c>
      <c r="AK203" s="0" t="s">
        <v>46</v>
      </c>
      <c r="AL203" s="0" t="s">
        <v>46</v>
      </c>
    </row>
    <row r="204" customFormat="false" ht="15" hidden="false" customHeight="false" outlineLevel="0" collapsed="false">
      <c r="B204" s="0" t="str">
        <f aca="false">HYPERLINK("https://genome.ucsc.edu/cgi-bin/hgTracks?db=hg19&amp;position=chr16%3A67683464%2D67683464", "chr16:67683464")</f>
        <v>chr16:67683464</v>
      </c>
      <c r="C204" s="0" t="s">
        <v>271</v>
      </c>
      <c r="D204" s="0" t="n">
        <v>67683464</v>
      </c>
      <c r="E204" s="0" t="n">
        <v>67683464</v>
      </c>
      <c r="F204" s="0" t="s">
        <v>57</v>
      </c>
      <c r="G204" s="0" t="s">
        <v>69</v>
      </c>
      <c r="H204" s="0" t="s">
        <v>1213</v>
      </c>
      <c r="I204" s="0" t="s">
        <v>631</v>
      </c>
      <c r="J204" s="0" t="s">
        <v>1214</v>
      </c>
      <c r="K204" s="0" t="s">
        <v>46</v>
      </c>
      <c r="L204" s="0" t="str">
        <f aca="false">HYPERLINK("https://www.ncbi.nlm.nih.gov/snp/rs750622043", "rs750622043")</f>
        <v>rs750622043</v>
      </c>
      <c r="M204" s="0" t="str">
        <f aca="false">HYPERLINK("https://www.genecards.org/Search/Keyword?queryString=%5Baliases%5D(%20CARMIL2%20)%20OR%20%5Baliases%5D(%20RLTPR%20)&amp;keywords=CARMIL2,RLTPR", "CARMIL2;RLTPR")</f>
        <v>CARMIL2;RLTPR</v>
      </c>
      <c r="N204" s="0" t="s">
        <v>98</v>
      </c>
      <c r="O204" s="0" t="s">
        <v>99</v>
      </c>
      <c r="P204" s="0" t="s">
        <v>1215</v>
      </c>
      <c r="Q204" s="0" t="n">
        <v>2.59E-005</v>
      </c>
      <c r="R204" s="0" t="n">
        <v>-1</v>
      </c>
      <c r="S204" s="0" t="n">
        <v>-1</v>
      </c>
      <c r="T204" s="0" t="n">
        <v>-1</v>
      </c>
      <c r="U204" s="0" t="n">
        <v>-1</v>
      </c>
      <c r="V204" s="0" t="s">
        <v>688</v>
      </c>
      <c r="W204" s="0" t="s">
        <v>46</v>
      </c>
      <c r="X204" s="0" t="s">
        <v>46</v>
      </c>
      <c r="Y204" s="0" t="s">
        <v>46</v>
      </c>
      <c r="Z204" s="0" t="s">
        <v>159</v>
      </c>
      <c r="AA204" s="0" t="s">
        <v>171</v>
      </c>
      <c r="AB204" s="0" t="s">
        <v>46</v>
      </c>
      <c r="AC204" s="0" t="s">
        <v>51</v>
      </c>
      <c r="AD204" s="0" t="s">
        <v>437</v>
      </c>
      <c r="AE204" s="0" t="s">
        <v>1216</v>
      </c>
      <c r="AF204" s="0" t="s">
        <v>1217</v>
      </c>
      <c r="AG204" s="0" t="s">
        <v>46</v>
      </c>
      <c r="AH204" s="0" t="s">
        <v>46</v>
      </c>
      <c r="AI204" s="0" t="s">
        <v>46</v>
      </c>
      <c r="AJ204" s="0" t="s">
        <v>46</v>
      </c>
      <c r="AK204" s="0" t="s">
        <v>46</v>
      </c>
      <c r="AL204" s="0" t="s">
        <v>46</v>
      </c>
    </row>
    <row r="205" customFormat="false" ht="15" hidden="false" customHeight="false" outlineLevel="0" collapsed="false">
      <c r="B205" s="0" t="str">
        <f aca="false">HYPERLINK("https://genome.ucsc.edu/cgi-bin/hgTracks?db=hg19&amp;position=chr16%3A68265850%2D68265850", "chr16:68265850")</f>
        <v>chr16:68265850</v>
      </c>
      <c r="C205" s="0" t="s">
        <v>271</v>
      </c>
      <c r="D205" s="0" t="n">
        <v>68265850</v>
      </c>
      <c r="E205" s="0" t="n">
        <v>68265850</v>
      </c>
      <c r="F205" s="0" t="s">
        <v>39</v>
      </c>
      <c r="G205" s="0" t="s">
        <v>40</v>
      </c>
      <c r="H205" s="0" t="s">
        <v>1218</v>
      </c>
      <c r="I205" s="0" t="s">
        <v>1219</v>
      </c>
      <c r="J205" s="0" t="s">
        <v>1220</v>
      </c>
      <c r="K205" s="0" t="s">
        <v>46</v>
      </c>
      <c r="L205" s="0" t="str">
        <f aca="false">HYPERLINK("https://www.ncbi.nlm.nih.gov/snp/rs765108665", "rs765108665")</f>
        <v>rs765108665</v>
      </c>
      <c r="M205" s="0" t="str">
        <f aca="false">HYPERLINK("https://www.genecards.org/Search/Keyword?queryString=%5Baliases%5D(%20ESRP2%20)&amp;keywords=ESRP2", "ESRP2")</f>
        <v>ESRP2</v>
      </c>
      <c r="N205" s="0" t="s">
        <v>98</v>
      </c>
      <c r="O205" s="0" t="s">
        <v>99</v>
      </c>
      <c r="P205" s="0" t="s">
        <v>1221</v>
      </c>
      <c r="Q205" s="0" t="n">
        <v>5.82E-005</v>
      </c>
      <c r="R205" s="0" t="n">
        <v>-1</v>
      </c>
      <c r="S205" s="0" t="n">
        <v>-1</v>
      </c>
      <c r="T205" s="0" t="n">
        <v>-1</v>
      </c>
      <c r="U205" s="0" t="n">
        <v>-1</v>
      </c>
      <c r="V205" s="0" t="s">
        <v>257</v>
      </c>
      <c r="W205" s="0" t="s">
        <v>46</v>
      </c>
      <c r="X205" s="0" t="s">
        <v>46</v>
      </c>
      <c r="Y205" s="0" t="s">
        <v>46</v>
      </c>
      <c r="Z205" s="0" t="s">
        <v>159</v>
      </c>
      <c r="AA205" s="0" t="s">
        <v>171</v>
      </c>
      <c r="AB205" s="0" t="s">
        <v>46</v>
      </c>
      <c r="AC205" s="0" t="s">
        <v>51</v>
      </c>
      <c r="AD205" s="0" t="s">
        <v>52</v>
      </c>
      <c r="AE205" s="0" t="s">
        <v>1222</v>
      </c>
      <c r="AF205" s="0" t="s">
        <v>1223</v>
      </c>
      <c r="AG205" s="0" t="s">
        <v>1224</v>
      </c>
      <c r="AH205" s="0" t="s">
        <v>46</v>
      </c>
      <c r="AI205" s="0" t="s">
        <v>46</v>
      </c>
      <c r="AJ205" s="0" t="s">
        <v>46</v>
      </c>
      <c r="AK205" s="0" t="s">
        <v>46</v>
      </c>
      <c r="AL205" s="0" t="s">
        <v>46</v>
      </c>
    </row>
    <row r="206" customFormat="false" ht="15" hidden="false" customHeight="false" outlineLevel="0" collapsed="false">
      <c r="B206" s="0" t="str">
        <f aca="false">HYPERLINK("https://genome.ucsc.edu/cgi-bin/hgTracks?db=hg19&amp;position=chr16%3A70893976%2D70893976", "chr16:70893976")</f>
        <v>chr16:70893976</v>
      </c>
      <c r="C206" s="0" t="s">
        <v>271</v>
      </c>
      <c r="D206" s="0" t="n">
        <v>70893976</v>
      </c>
      <c r="E206" s="0" t="n">
        <v>70893976</v>
      </c>
      <c r="F206" s="0" t="s">
        <v>39</v>
      </c>
      <c r="G206" s="0" t="s">
        <v>40</v>
      </c>
      <c r="H206" s="0" t="s">
        <v>1225</v>
      </c>
      <c r="I206" s="0" t="s">
        <v>1226</v>
      </c>
      <c r="J206" s="0" t="s">
        <v>1227</v>
      </c>
      <c r="K206" s="0" t="s">
        <v>46</v>
      </c>
      <c r="L206" s="0" t="str">
        <f aca="false">HYPERLINK("https://www.ncbi.nlm.nih.gov/snp/rs62049823", "rs62049823")</f>
        <v>rs62049823</v>
      </c>
      <c r="M206" s="0" t="str">
        <f aca="false">HYPERLINK("https://www.genecards.org/Search/Keyword?queryString=%5Baliases%5D(%20HYDIN%20)&amp;keywords=HYDIN", "HYDIN")</f>
        <v>HYDIN</v>
      </c>
      <c r="N206" s="0" t="s">
        <v>98</v>
      </c>
      <c r="O206" s="0" t="s">
        <v>99</v>
      </c>
      <c r="P206" s="0" t="s">
        <v>1228</v>
      </c>
      <c r="Q206" s="0" t="n">
        <v>0.0012807</v>
      </c>
      <c r="R206" s="0" t="n">
        <v>-1</v>
      </c>
      <c r="S206" s="0" t="n">
        <v>-1</v>
      </c>
      <c r="T206" s="0" t="n">
        <v>-1</v>
      </c>
      <c r="U206" s="0" t="n">
        <v>-1</v>
      </c>
      <c r="V206" s="0" t="s">
        <v>215</v>
      </c>
      <c r="W206" s="0" t="s">
        <v>46</v>
      </c>
      <c r="X206" s="0" t="s">
        <v>46</v>
      </c>
      <c r="Y206" s="0" t="s">
        <v>46</v>
      </c>
      <c r="Z206" s="0" t="s">
        <v>159</v>
      </c>
      <c r="AA206" s="0" t="s">
        <v>171</v>
      </c>
      <c r="AB206" s="0" t="s">
        <v>46</v>
      </c>
      <c r="AC206" s="0" t="s">
        <v>51</v>
      </c>
      <c r="AD206" s="0" t="s">
        <v>1229</v>
      </c>
      <c r="AE206" s="0" t="s">
        <v>46</v>
      </c>
      <c r="AF206" s="0" t="s">
        <v>1230</v>
      </c>
      <c r="AG206" s="0" t="s">
        <v>1231</v>
      </c>
      <c r="AH206" s="0" t="s">
        <v>1232</v>
      </c>
      <c r="AI206" s="0" t="s">
        <v>802</v>
      </c>
      <c r="AJ206" s="0" t="s">
        <v>46</v>
      </c>
      <c r="AK206" s="0" t="s">
        <v>46</v>
      </c>
      <c r="AL206" s="0" t="s">
        <v>584</v>
      </c>
    </row>
    <row r="207" customFormat="false" ht="15" hidden="false" customHeight="false" outlineLevel="0" collapsed="false">
      <c r="B207" s="0" t="str">
        <f aca="false">HYPERLINK("https://genome.ucsc.edu/cgi-bin/hgTracks?db=hg19&amp;position=chr16%3A70894087%2D70894087", "chr16:70894087")</f>
        <v>chr16:70894087</v>
      </c>
      <c r="C207" s="0" t="s">
        <v>271</v>
      </c>
      <c r="D207" s="0" t="n">
        <v>70894087</v>
      </c>
      <c r="E207" s="0" t="n">
        <v>70894087</v>
      </c>
      <c r="F207" s="0" t="s">
        <v>40</v>
      </c>
      <c r="G207" s="0" t="s">
        <v>39</v>
      </c>
      <c r="H207" s="0" t="s">
        <v>1233</v>
      </c>
      <c r="I207" s="0" t="s">
        <v>220</v>
      </c>
      <c r="J207" s="0" t="s">
        <v>1234</v>
      </c>
      <c r="K207" s="0" t="s">
        <v>46</v>
      </c>
      <c r="L207" s="0" t="str">
        <f aca="false">HYPERLINK("https://www.ncbi.nlm.nih.gov/snp/rs1539302", "rs1539302")</f>
        <v>rs1539302</v>
      </c>
      <c r="M207" s="0" t="str">
        <f aca="false">HYPERLINK("https://www.genecards.org/Search/Keyword?queryString=%5Baliases%5D(%20HYDIN%20)&amp;keywords=HYDIN", "HYDIN")</f>
        <v>HYDIN</v>
      </c>
      <c r="N207" s="0" t="s">
        <v>98</v>
      </c>
      <c r="O207" s="0" t="s">
        <v>99</v>
      </c>
      <c r="P207" s="0" t="s">
        <v>1235</v>
      </c>
      <c r="Q207" s="0" t="n">
        <v>0.0286995</v>
      </c>
      <c r="R207" s="0" t="n">
        <v>0.0047</v>
      </c>
      <c r="S207" s="0" t="n">
        <v>0.0023</v>
      </c>
      <c r="T207" s="0" t="n">
        <v>-1</v>
      </c>
      <c r="U207" s="0" t="n">
        <v>0.0056</v>
      </c>
      <c r="V207" s="0" t="s">
        <v>194</v>
      </c>
      <c r="W207" s="0" t="s">
        <v>46</v>
      </c>
      <c r="X207" s="0" t="s">
        <v>46</v>
      </c>
      <c r="Y207" s="0" t="s">
        <v>46</v>
      </c>
      <c r="Z207" s="0" t="s">
        <v>183</v>
      </c>
      <c r="AA207" s="0" t="s">
        <v>171</v>
      </c>
      <c r="AB207" s="0" t="s">
        <v>46</v>
      </c>
      <c r="AC207" s="0" t="s">
        <v>51</v>
      </c>
      <c r="AD207" s="0" t="s">
        <v>1229</v>
      </c>
      <c r="AE207" s="0" t="s">
        <v>46</v>
      </c>
      <c r="AF207" s="0" t="s">
        <v>1230</v>
      </c>
      <c r="AG207" s="0" t="s">
        <v>1231</v>
      </c>
      <c r="AH207" s="0" t="s">
        <v>1232</v>
      </c>
      <c r="AI207" s="0" t="s">
        <v>802</v>
      </c>
      <c r="AJ207" s="0" t="s">
        <v>46</v>
      </c>
      <c r="AK207" s="0" t="s">
        <v>46</v>
      </c>
      <c r="AL207" s="0" t="s">
        <v>584</v>
      </c>
    </row>
    <row r="208" customFormat="false" ht="15" hidden="false" customHeight="false" outlineLevel="0" collapsed="false">
      <c r="B208" s="0" t="str">
        <f aca="false">HYPERLINK("https://genome.ucsc.edu/cgi-bin/hgTracks?db=hg19&amp;position=chr16%3A71007809%2D71007809", "chr16:71007809")</f>
        <v>chr16:71007809</v>
      </c>
      <c r="C208" s="0" t="s">
        <v>271</v>
      </c>
      <c r="D208" s="0" t="n">
        <v>71007809</v>
      </c>
      <c r="E208" s="0" t="n">
        <v>71007809</v>
      </c>
      <c r="F208" s="0" t="s">
        <v>39</v>
      </c>
      <c r="G208" s="0" t="s">
        <v>40</v>
      </c>
      <c r="H208" s="0" t="s">
        <v>1236</v>
      </c>
      <c r="I208" s="0" t="s">
        <v>1237</v>
      </c>
      <c r="J208" s="0" t="s">
        <v>1238</v>
      </c>
      <c r="K208" s="0" t="s">
        <v>46</v>
      </c>
      <c r="L208" s="0" t="str">
        <f aca="false">HYPERLINK("https://www.ncbi.nlm.nih.gov/snp/rs783762", "rs783762")</f>
        <v>rs783762</v>
      </c>
      <c r="M208" s="0" t="str">
        <f aca="false">HYPERLINK("https://www.genecards.org/Search/Keyword?queryString=%5Baliases%5D(%20HYDIN%20)&amp;keywords=HYDIN", "HYDIN")</f>
        <v>HYDIN</v>
      </c>
      <c r="N208" s="0" t="s">
        <v>98</v>
      </c>
      <c r="O208" s="0" t="s">
        <v>99</v>
      </c>
      <c r="P208" s="0" t="s">
        <v>1239</v>
      </c>
      <c r="Q208" s="0" t="n">
        <v>0.0086868</v>
      </c>
      <c r="R208" s="0" t="n">
        <v>-1</v>
      </c>
      <c r="S208" s="0" t="n">
        <v>-1</v>
      </c>
      <c r="T208" s="0" t="n">
        <v>-1</v>
      </c>
      <c r="U208" s="0" t="n">
        <v>-1</v>
      </c>
      <c r="V208" s="0" t="s">
        <v>215</v>
      </c>
      <c r="W208" s="0" t="s">
        <v>46</v>
      </c>
      <c r="X208" s="0" t="s">
        <v>46</v>
      </c>
      <c r="Y208" s="0" t="s">
        <v>46</v>
      </c>
      <c r="Z208" s="0" t="s">
        <v>49</v>
      </c>
      <c r="AA208" s="0" t="s">
        <v>171</v>
      </c>
      <c r="AB208" s="0" t="s">
        <v>46</v>
      </c>
      <c r="AC208" s="0" t="s">
        <v>51</v>
      </c>
      <c r="AD208" s="0" t="s">
        <v>1229</v>
      </c>
      <c r="AE208" s="0" t="s">
        <v>46</v>
      </c>
      <c r="AF208" s="0" t="s">
        <v>1230</v>
      </c>
      <c r="AG208" s="0" t="s">
        <v>1231</v>
      </c>
      <c r="AH208" s="0" t="s">
        <v>1232</v>
      </c>
      <c r="AI208" s="0" t="s">
        <v>46</v>
      </c>
      <c r="AJ208" s="0" t="s">
        <v>46</v>
      </c>
      <c r="AK208" s="0" t="s">
        <v>46</v>
      </c>
      <c r="AL208" s="0" t="s">
        <v>584</v>
      </c>
    </row>
    <row r="209" customFormat="false" ht="15" hidden="false" customHeight="false" outlineLevel="0" collapsed="false">
      <c r="B209" s="0" t="str">
        <f aca="false">HYPERLINK("https://genome.ucsc.edu/cgi-bin/hgTracks?db=hg19&amp;position=chr16%3A74671866%2D74671866", "chr16:74671866")</f>
        <v>chr16:74671866</v>
      </c>
      <c r="C209" s="0" t="s">
        <v>271</v>
      </c>
      <c r="D209" s="0" t="n">
        <v>74671866</v>
      </c>
      <c r="E209" s="0" t="n">
        <v>74671866</v>
      </c>
      <c r="F209" s="0" t="s">
        <v>69</v>
      </c>
      <c r="G209" s="0" t="s">
        <v>57</v>
      </c>
      <c r="H209" s="0" t="s">
        <v>1240</v>
      </c>
      <c r="I209" s="0" t="s">
        <v>288</v>
      </c>
      <c r="J209" s="0" t="s">
        <v>1241</v>
      </c>
      <c r="K209" s="0" t="s">
        <v>46</v>
      </c>
      <c r="L209" s="0" t="str">
        <f aca="false">HYPERLINK("https://www.ncbi.nlm.nih.gov/snp/rs77132945", "rs77132945")</f>
        <v>rs77132945</v>
      </c>
      <c r="M209" s="0" t="str">
        <f aca="false">HYPERLINK("https://www.genecards.org/Search/Keyword?queryString=%5Baliases%5D(%20RFWD3%20)&amp;keywords=RFWD3", "RFWD3")</f>
        <v>RFWD3</v>
      </c>
      <c r="N209" s="0" t="s">
        <v>98</v>
      </c>
      <c r="O209" s="0" t="s">
        <v>99</v>
      </c>
      <c r="P209" s="0" t="s">
        <v>1242</v>
      </c>
      <c r="Q209" s="0" t="n">
        <v>0.0252</v>
      </c>
      <c r="R209" s="0" t="n">
        <v>0.027</v>
      </c>
      <c r="S209" s="0" t="n">
        <v>0.0254</v>
      </c>
      <c r="T209" s="0" t="n">
        <v>-1</v>
      </c>
      <c r="U209" s="0" t="n">
        <v>0.0332</v>
      </c>
      <c r="V209" s="0" t="s">
        <v>126</v>
      </c>
      <c r="W209" s="0" t="s">
        <v>46</v>
      </c>
      <c r="X209" s="0" t="s">
        <v>46</v>
      </c>
      <c r="Y209" s="0" t="s">
        <v>46</v>
      </c>
      <c r="Z209" s="0" t="s">
        <v>159</v>
      </c>
      <c r="AA209" s="0" t="s">
        <v>171</v>
      </c>
      <c r="AB209" s="0" t="s">
        <v>46</v>
      </c>
      <c r="AC209" s="0" t="s">
        <v>51</v>
      </c>
      <c r="AD209" s="0" t="s">
        <v>52</v>
      </c>
      <c r="AE209" s="0" t="s">
        <v>1243</v>
      </c>
      <c r="AF209" s="0" t="s">
        <v>1244</v>
      </c>
      <c r="AG209" s="0" t="s">
        <v>1245</v>
      </c>
      <c r="AH209" s="0" t="s">
        <v>46</v>
      </c>
      <c r="AI209" s="0" t="s">
        <v>46</v>
      </c>
      <c r="AJ209" s="0" t="s">
        <v>46</v>
      </c>
      <c r="AK209" s="0" t="s">
        <v>46</v>
      </c>
      <c r="AL209" s="0" t="s">
        <v>46</v>
      </c>
    </row>
    <row r="210" customFormat="false" ht="15" hidden="false" customHeight="false" outlineLevel="0" collapsed="false">
      <c r="B210" s="0" t="str">
        <f aca="false">HYPERLINK("https://genome.ucsc.edu/cgi-bin/hgTracks?db=hg19&amp;position=chr16%3A75268977%2D75268977", "chr16:75268977")</f>
        <v>chr16:75268977</v>
      </c>
      <c r="C210" s="0" t="s">
        <v>271</v>
      </c>
      <c r="D210" s="0" t="n">
        <v>75268977</v>
      </c>
      <c r="E210" s="0" t="n">
        <v>75268977</v>
      </c>
      <c r="F210" s="0" t="s">
        <v>39</v>
      </c>
      <c r="G210" s="0" t="s">
        <v>40</v>
      </c>
      <c r="H210" s="0" t="s">
        <v>1246</v>
      </c>
      <c r="I210" s="0" t="s">
        <v>953</v>
      </c>
      <c r="J210" s="0" t="s">
        <v>1247</v>
      </c>
      <c r="K210" s="0" t="s">
        <v>46</v>
      </c>
      <c r="L210" s="0" t="str">
        <f aca="false">HYPERLINK("https://www.ncbi.nlm.nih.gov/snp/rs61743104", "rs61743104")</f>
        <v>rs61743104</v>
      </c>
      <c r="M210" s="0" t="str">
        <f aca="false">HYPERLINK("https://www.genecards.org/Search/Keyword?queryString=%5Baliases%5D(%20BCAR1%20)&amp;keywords=BCAR1", "BCAR1")</f>
        <v>BCAR1</v>
      </c>
      <c r="N210" s="0" t="s">
        <v>98</v>
      </c>
      <c r="O210" s="0" t="s">
        <v>99</v>
      </c>
      <c r="P210" s="0" t="s">
        <v>1248</v>
      </c>
      <c r="Q210" s="0" t="n">
        <v>0.0099</v>
      </c>
      <c r="R210" s="0" t="n">
        <v>0.0088</v>
      </c>
      <c r="S210" s="0" t="n">
        <v>0.008</v>
      </c>
      <c r="T210" s="0" t="n">
        <v>-1</v>
      </c>
      <c r="U210" s="0" t="n">
        <v>0.0107</v>
      </c>
      <c r="V210" s="0" t="s">
        <v>148</v>
      </c>
      <c r="W210" s="0" t="s">
        <v>46</v>
      </c>
      <c r="X210" s="0" t="s">
        <v>46</v>
      </c>
      <c r="Y210" s="0" t="s">
        <v>46</v>
      </c>
      <c r="Z210" s="0" t="s">
        <v>102</v>
      </c>
      <c r="AA210" s="0" t="s">
        <v>171</v>
      </c>
      <c r="AB210" s="0" t="s">
        <v>46</v>
      </c>
      <c r="AC210" s="0" t="s">
        <v>51</v>
      </c>
      <c r="AD210" s="0" t="s">
        <v>52</v>
      </c>
      <c r="AE210" s="0" t="s">
        <v>1249</v>
      </c>
      <c r="AF210" s="0" t="s">
        <v>1250</v>
      </c>
      <c r="AG210" s="0" t="s">
        <v>1251</v>
      </c>
      <c r="AH210" s="0" t="s">
        <v>46</v>
      </c>
      <c r="AI210" s="0" t="s">
        <v>46</v>
      </c>
      <c r="AJ210" s="0" t="s">
        <v>46</v>
      </c>
      <c r="AK210" s="0" t="s">
        <v>46</v>
      </c>
      <c r="AL210" s="0" t="s">
        <v>46</v>
      </c>
    </row>
    <row r="211" customFormat="false" ht="15" hidden="false" customHeight="false" outlineLevel="0" collapsed="false">
      <c r="B211" s="0" t="str">
        <f aca="false">HYPERLINK("https://genome.ucsc.edu/cgi-bin/hgTracks?db=hg19&amp;position=chr16%3A78466611%2D78466611", "chr16:78466611")</f>
        <v>chr16:78466611</v>
      </c>
      <c r="C211" s="0" t="s">
        <v>271</v>
      </c>
      <c r="D211" s="0" t="n">
        <v>78466611</v>
      </c>
      <c r="E211" s="0" t="n">
        <v>78466611</v>
      </c>
      <c r="F211" s="0" t="s">
        <v>39</v>
      </c>
      <c r="G211" s="0" t="s">
        <v>69</v>
      </c>
      <c r="H211" s="0" t="s">
        <v>1252</v>
      </c>
      <c r="I211" s="0" t="s">
        <v>611</v>
      </c>
      <c r="J211" s="0" t="s">
        <v>1253</v>
      </c>
      <c r="K211" s="0" t="s">
        <v>46</v>
      </c>
      <c r="L211" s="0" t="str">
        <f aca="false">HYPERLINK("https://www.ncbi.nlm.nih.gov/snp/rs976415963", "rs976415963")</f>
        <v>rs976415963</v>
      </c>
      <c r="M211" s="0" t="str">
        <f aca="false">HYPERLINK("https://www.genecards.org/Search/Keyword?queryString=%5Baliases%5D(%20WWOX%20)&amp;keywords=WWOX", "WWOX")</f>
        <v>WWOX</v>
      </c>
      <c r="N211" s="0" t="s">
        <v>98</v>
      </c>
      <c r="O211" s="0" t="s">
        <v>99</v>
      </c>
      <c r="P211" s="0" t="s">
        <v>1254</v>
      </c>
      <c r="Q211" s="0" t="n">
        <v>-1</v>
      </c>
      <c r="R211" s="0" t="n">
        <v>-1</v>
      </c>
      <c r="S211" s="0" t="n">
        <v>-1</v>
      </c>
      <c r="T211" s="0" t="n">
        <v>-1</v>
      </c>
      <c r="U211" s="0" t="n">
        <v>-1</v>
      </c>
      <c r="V211" s="0" t="s">
        <v>502</v>
      </c>
      <c r="W211" s="0" t="s">
        <v>46</v>
      </c>
      <c r="X211" s="0" t="s">
        <v>46</v>
      </c>
      <c r="Y211" s="0" t="s">
        <v>46</v>
      </c>
      <c r="Z211" s="0" t="s">
        <v>49</v>
      </c>
      <c r="AA211" s="0" t="s">
        <v>171</v>
      </c>
      <c r="AB211" s="0" t="s">
        <v>46</v>
      </c>
      <c r="AC211" s="0" t="s">
        <v>51</v>
      </c>
      <c r="AD211" s="0" t="s">
        <v>52</v>
      </c>
      <c r="AE211" s="0" t="s">
        <v>1255</v>
      </c>
      <c r="AF211" s="0" t="s">
        <v>1256</v>
      </c>
      <c r="AG211" s="0" t="s">
        <v>1257</v>
      </c>
      <c r="AH211" s="0" t="s">
        <v>1258</v>
      </c>
      <c r="AI211" s="0" t="s">
        <v>46</v>
      </c>
      <c r="AJ211" s="0" t="s">
        <v>46</v>
      </c>
      <c r="AK211" s="0" t="s">
        <v>46</v>
      </c>
      <c r="AL211" s="0" t="s">
        <v>46</v>
      </c>
    </row>
    <row r="212" customFormat="false" ht="15" hidden="false" customHeight="false" outlineLevel="0" collapsed="false">
      <c r="B212" s="0" t="str">
        <f aca="false">HYPERLINK("https://genome.ucsc.edu/cgi-bin/hgTracks?db=hg19&amp;position=chr16%3A89017167%2D89017167", "chr16:89017167")</f>
        <v>chr16:89017167</v>
      </c>
      <c r="C212" s="0" t="s">
        <v>271</v>
      </c>
      <c r="D212" s="0" t="n">
        <v>89017167</v>
      </c>
      <c r="E212" s="0" t="n">
        <v>89017167</v>
      </c>
      <c r="F212" s="0" t="s">
        <v>39</v>
      </c>
      <c r="G212" s="0" t="s">
        <v>69</v>
      </c>
      <c r="H212" s="0" t="s">
        <v>1259</v>
      </c>
      <c r="I212" s="0" t="s">
        <v>413</v>
      </c>
      <c r="J212" s="0" t="s">
        <v>1260</v>
      </c>
      <c r="K212" s="0" t="s">
        <v>46</v>
      </c>
      <c r="L212" s="0" t="str">
        <f aca="false">HYPERLINK("https://www.ncbi.nlm.nih.gov/snp/rs12924553", "rs12924553")</f>
        <v>rs12924553</v>
      </c>
      <c r="M212" s="0" t="str">
        <f aca="false">HYPERLINK("https://www.genecards.org/Search/Keyword?queryString=%5Baliases%5D(%20CBFA2T3%20)%20OR%20%5Baliases%5D(%20LOC100129697%20)&amp;keywords=CBFA2T3,LOC100129697", "CBFA2T3;LOC100129697")</f>
        <v>CBFA2T3;LOC100129697</v>
      </c>
      <c r="N212" s="0" t="s">
        <v>1261</v>
      </c>
      <c r="O212" s="0" t="s">
        <v>46</v>
      </c>
      <c r="P212" s="0" t="s">
        <v>46</v>
      </c>
      <c r="Q212" s="0" t="n">
        <v>0.0096</v>
      </c>
      <c r="R212" s="0" t="n">
        <v>-1</v>
      </c>
      <c r="S212" s="0" t="n">
        <v>-1</v>
      </c>
      <c r="T212" s="0" t="n">
        <v>-1</v>
      </c>
      <c r="U212" s="0" t="n">
        <v>-1</v>
      </c>
      <c r="V212" s="0" t="s">
        <v>1262</v>
      </c>
      <c r="W212" s="0" t="s">
        <v>46</v>
      </c>
      <c r="X212" s="0" t="s">
        <v>46</v>
      </c>
      <c r="Y212" s="0" t="s">
        <v>46</v>
      </c>
      <c r="Z212" s="0" t="s">
        <v>46</v>
      </c>
      <c r="AA212" s="0" t="s">
        <v>171</v>
      </c>
      <c r="AB212" s="0" t="s">
        <v>46</v>
      </c>
      <c r="AC212" s="0" t="s">
        <v>51</v>
      </c>
      <c r="AD212" s="0" t="s">
        <v>1263</v>
      </c>
      <c r="AE212" s="0" t="s">
        <v>1264</v>
      </c>
      <c r="AF212" s="0" t="s">
        <v>1265</v>
      </c>
      <c r="AG212" s="0" t="s">
        <v>1266</v>
      </c>
      <c r="AH212" s="0" t="s">
        <v>1267</v>
      </c>
      <c r="AI212" s="0" t="s">
        <v>46</v>
      </c>
      <c r="AJ212" s="0" t="s">
        <v>46</v>
      </c>
      <c r="AK212" s="0" t="s">
        <v>46</v>
      </c>
      <c r="AL212" s="0" t="s">
        <v>584</v>
      </c>
    </row>
    <row r="213" customFormat="false" ht="15" hidden="false" customHeight="false" outlineLevel="0" collapsed="false">
      <c r="B213" s="0" t="str">
        <f aca="false">HYPERLINK("https://genome.ucsc.edu/cgi-bin/hgTracks?db=hg19&amp;position=chr17%3A18024075%2D18024075", "chr17:18024075")</f>
        <v>chr17:18024075</v>
      </c>
      <c r="C213" s="0" t="s">
        <v>279</v>
      </c>
      <c r="D213" s="0" t="n">
        <v>18024075</v>
      </c>
      <c r="E213" s="0" t="n">
        <v>18024075</v>
      </c>
      <c r="F213" s="0" t="s">
        <v>40</v>
      </c>
      <c r="G213" s="0" t="s">
        <v>57</v>
      </c>
      <c r="H213" s="0" t="s">
        <v>1268</v>
      </c>
      <c r="I213" s="0" t="s">
        <v>311</v>
      </c>
      <c r="J213" s="0" t="s">
        <v>1141</v>
      </c>
      <c r="K213" s="0" t="s">
        <v>46</v>
      </c>
      <c r="L213" s="0" t="s">
        <v>46</v>
      </c>
      <c r="M213" s="0" t="str">
        <f aca="false">HYPERLINK("https://www.genecards.org/Search/Keyword?queryString=%5Baliases%5D(%20MYO15A%20)&amp;keywords=MYO15A", "MYO15A")</f>
        <v>MYO15A</v>
      </c>
      <c r="N213" s="0" t="s">
        <v>98</v>
      </c>
      <c r="O213" s="0" t="s">
        <v>99</v>
      </c>
      <c r="P213" s="0" t="s">
        <v>1269</v>
      </c>
      <c r="Q213" s="0" t="n">
        <v>-1</v>
      </c>
      <c r="R213" s="0" t="n">
        <v>-1</v>
      </c>
      <c r="S213" s="0" t="n">
        <v>-1</v>
      </c>
      <c r="T213" s="0" t="n">
        <v>-1</v>
      </c>
      <c r="U213" s="0" t="n">
        <v>-1</v>
      </c>
      <c r="V213" s="0" t="s">
        <v>170</v>
      </c>
      <c r="W213" s="0" t="s">
        <v>46</v>
      </c>
      <c r="X213" s="0" t="s">
        <v>46</v>
      </c>
      <c r="Y213" s="0" t="s">
        <v>46</v>
      </c>
      <c r="Z213" s="0" t="s">
        <v>49</v>
      </c>
      <c r="AA213" s="0" t="s">
        <v>171</v>
      </c>
      <c r="AB213" s="0" t="s">
        <v>46</v>
      </c>
      <c r="AC213" s="0" t="s">
        <v>51</v>
      </c>
      <c r="AD213" s="0" t="s">
        <v>856</v>
      </c>
      <c r="AE213" s="0" t="s">
        <v>46</v>
      </c>
      <c r="AF213" s="0" t="s">
        <v>1270</v>
      </c>
      <c r="AG213" s="0" t="s">
        <v>1271</v>
      </c>
      <c r="AH213" s="0" t="s">
        <v>46</v>
      </c>
      <c r="AI213" s="0" t="s">
        <v>46</v>
      </c>
      <c r="AJ213" s="0" t="s">
        <v>46</v>
      </c>
      <c r="AK213" s="0" t="s">
        <v>46</v>
      </c>
      <c r="AL213" s="0" t="s">
        <v>46</v>
      </c>
    </row>
    <row r="214" customFormat="false" ht="15" hidden="false" customHeight="false" outlineLevel="0" collapsed="false">
      <c r="B214" s="0" t="str">
        <f aca="false">HYPERLINK("https://genome.ucsc.edu/cgi-bin/hgTracks?db=hg19&amp;position=chr17%3A30348338%2D30348338", "chr17:30348338")</f>
        <v>chr17:30348338</v>
      </c>
      <c r="C214" s="0" t="s">
        <v>279</v>
      </c>
      <c r="D214" s="0" t="n">
        <v>30348338</v>
      </c>
      <c r="E214" s="0" t="n">
        <v>30348338</v>
      </c>
      <c r="F214" s="0" t="s">
        <v>57</v>
      </c>
      <c r="G214" s="0" t="s">
        <v>39</v>
      </c>
      <c r="H214" s="0" t="s">
        <v>1272</v>
      </c>
      <c r="I214" s="0" t="s">
        <v>571</v>
      </c>
      <c r="J214" s="0" t="s">
        <v>1273</v>
      </c>
      <c r="K214" s="0" t="s">
        <v>46</v>
      </c>
      <c r="L214" s="0" t="str">
        <f aca="false">HYPERLINK("https://www.ncbi.nlm.nih.gov/snp/rs199978808", "rs199978808")</f>
        <v>rs199978808</v>
      </c>
      <c r="M214" s="0" t="str">
        <f aca="false">HYPERLINK("https://www.genecards.org/Search/Keyword?queryString=%5Baliases%5D(%20LRRC37B%20)&amp;keywords=LRRC37B", "LRRC37B")</f>
        <v>LRRC37B</v>
      </c>
      <c r="N214" s="0" t="s">
        <v>98</v>
      </c>
      <c r="O214" s="0" t="s">
        <v>99</v>
      </c>
      <c r="P214" s="0" t="s">
        <v>1274</v>
      </c>
      <c r="Q214" s="0" t="n">
        <v>0.0028</v>
      </c>
      <c r="R214" s="0" t="n">
        <v>0.0021</v>
      </c>
      <c r="S214" s="0" t="n">
        <v>0.0015</v>
      </c>
      <c r="T214" s="0" t="n">
        <v>-1</v>
      </c>
      <c r="U214" s="0" t="n">
        <v>0.0031</v>
      </c>
      <c r="V214" s="0" t="s">
        <v>148</v>
      </c>
      <c r="W214" s="0" t="s">
        <v>46</v>
      </c>
      <c r="X214" s="0" t="s">
        <v>46</v>
      </c>
      <c r="Y214" s="0" t="s">
        <v>46</v>
      </c>
      <c r="Z214" s="0" t="s">
        <v>49</v>
      </c>
      <c r="AA214" s="0" t="s">
        <v>171</v>
      </c>
      <c r="AB214" s="0" t="s">
        <v>46</v>
      </c>
      <c r="AC214" s="0" t="s">
        <v>51</v>
      </c>
      <c r="AD214" s="0" t="s">
        <v>52</v>
      </c>
      <c r="AE214" s="0" t="s">
        <v>1275</v>
      </c>
      <c r="AF214" s="0" t="s">
        <v>1276</v>
      </c>
      <c r="AG214" s="0" t="s">
        <v>46</v>
      </c>
      <c r="AH214" s="0" t="s">
        <v>46</v>
      </c>
      <c r="AI214" s="0" t="s">
        <v>46</v>
      </c>
      <c r="AJ214" s="0" t="s">
        <v>46</v>
      </c>
      <c r="AK214" s="0" t="s">
        <v>46</v>
      </c>
      <c r="AL214" s="0" t="s">
        <v>609</v>
      </c>
    </row>
    <row r="215" customFormat="false" ht="15" hidden="false" customHeight="false" outlineLevel="0" collapsed="false">
      <c r="B215" s="0" t="str">
        <f aca="false">HYPERLINK("https://genome.ucsc.edu/cgi-bin/hgTracks?db=hg19&amp;position=chr17%3A33477159%2D33477159", "chr17:33477159")</f>
        <v>chr17:33477159</v>
      </c>
      <c r="C215" s="0" t="s">
        <v>279</v>
      </c>
      <c r="D215" s="0" t="n">
        <v>33477159</v>
      </c>
      <c r="E215" s="0" t="n">
        <v>33477159</v>
      </c>
      <c r="F215" s="0" t="s">
        <v>69</v>
      </c>
      <c r="G215" s="0" t="s">
        <v>57</v>
      </c>
      <c r="H215" s="0" t="s">
        <v>1277</v>
      </c>
      <c r="I215" s="0" t="s">
        <v>1278</v>
      </c>
      <c r="J215" s="0" t="s">
        <v>1279</v>
      </c>
      <c r="K215" s="0" t="s">
        <v>46</v>
      </c>
      <c r="L215" s="0" t="str">
        <f aca="false">HYPERLINK("https://www.ncbi.nlm.nih.gov/snp/rs199738575", "rs199738575")</f>
        <v>rs199738575</v>
      </c>
      <c r="M215" s="0" t="str">
        <f aca="false">HYPERLINK("https://www.genecards.org/Search/Keyword?queryString=%5Baliases%5D(%20UNC45B%20)&amp;keywords=UNC45B", "UNC45B")</f>
        <v>UNC45B</v>
      </c>
      <c r="N215" s="0" t="s">
        <v>98</v>
      </c>
      <c r="O215" s="0" t="s">
        <v>99</v>
      </c>
      <c r="P215" s="0" t="s">
        <v>1280</v>
      </c>
      <c r="Q215" s="0" t="n">
        <v>0.010101</v>
      </c>
      <c r="R215" s="0" t="n">
        <v>0.0023</v>
      </c>
      <c r="S215" s="0" t="n">
        <v>0.0019</v>
      </c>
      <c r="T215" s="0" t="n">
        <v>-1</v>
      </c>
      <c r="U215" s="0" t="n">
        <v>0.004</v>
      </c>
      <c r="V215" s="0" t="s">
        <v>257</v>
      </c>
      <c r="W215" s="0" t="s">
        <v>46</v>
      </c>
      <c r="X215" s="0" t="s">
        <v>46</v>
      </c>
      <c r="Y215" s="0" t="s">
        <v>46</v>
      </c>
      <c r="Z215" s="0" t="s">
        <v>159</v>
      </c>
      <c r="AA215" s="0" t="s">
        <v>171</v>
      </c>
      <c r="AB215" s="0" t="s">
        <v>46</v>
      </c>
      <c r="AC215" s="0" t="s">
        <v>51</v>
      </c>
      <c r="AD215" s="0" t="s">
        <v>52</v>
      </c>
      <c r="AE215" s="0" t="s">
        <v>1281</v>
      </c>
      <c r="AF215" s="0" t="s">
        <v>1282</v>
      </c>
      <c r="AG215" s="0" t="s">
        <v>1283</v>
      </c>
      <c r="AH215" s="0" t="s">
        <v>1284</v>
      </c>
      <c r="AI215" s="0" t="s">
        <v>46</v>
      </c>
      <c r="AJ215" s="0" t="s">
        <v>46</v>
      </c>
      <c r="AK215" s="0" t="s">
        <v>46</v>
      </c>
      <c r="AL215" s="0" t="s">
        <v>46</v>
      </c>
    </row>
    <row r="216" customFormat="false" ht="15" hidden="false" customHeight="false" outlineLevel="0" collapsed="false">
      <c r="B216" s="0" t="str">
        <f aca="false">HYPERLINK("https://genome.ucsc.edu/cgi-bin/hgTracks?db=hg19&amp;position=chr17%3A38324554%2D38324554", "chr17:38324554")</f>
        <v>chr17:38324554</v>
      </c>
      <c r="C216" s="0" t="s">
        <v>279</v>
      </c>
      <c r="D216" s="0" t="n">
        <v>38324554</v>
      </c>
      <c r="E216" s="0" t="n">
        <v>38324554</v>
      </c>
      <c r="F216" s="0" t="s">
        <v>39</v>
      </c>
      <c r="G216" s="0" t="s">
        <v>40</v>
      </c>
      <c r="H216" s="0" t="s">
        <v>1285</v>
      </c>
      <c r="I216" s="0" t="s">
        <v>611</v>
      </c>
      <c r="J216" s="0" t="s">
        <v>1286</v>
      </c>
      <c r="K216" s="0" t="s">
        <v>46</v>
      </c>
      <c r="L216" s="0" t="str">
        <f aca="false">HYPERLINK("https://www.ncbi.nlm.nih.gov/snp/rs41283419", "rs41283419")</f>
        <v>rs41283419</v>
      </c>
      <c r="M216" s="0" t="str">
        <f aca="false">HYPERLINK("https://www.genecards.org/Search/Keyword?queryString=%5Baliases%5D(%20CASC3%20)&amp;keywords=CASC3", "CASC3")</f>
        <v>CASC3</v>
      </c>
      <c r="N216" s="0" t="s">
        <v>98</v>
      </c>
      <c r="O216" s="0" t="s">
        <v>99</v>
      </c>
      <c r="P216" s="0" t="s">
        <v>1287</v>
      </c>
      <c r="Q216" s="0" t="n">
        <v>0.0219</v>
      </c>
      <c r="R216" s="0" t="n">
        <v>0.0152</v>
      </c>
      <c r="S216" s="0" t="n">
        <v>0.0121</v>
      </c>
      <c r="T216" s="0" t="n">
        <v>-1</v>
      </c>
      <c r="U216" s="0" t="n">
        <v>0.0225</v>
      </c>
      <c r="V216" s="0" t="s">
        <v>1149</v>
      </c>
      <c r="W216" s="0" t="s">
        <v>46</v>
      </c>
      <c r="X216" s="0" t="s">
        <v>46</v>
      </c>
      <c r="Y216" s="0" t="s">
        <v>46</v>
      </c>
      <c r="Z216" s="0" t="s">
        <v>102</v>
      </c>
      <c r="AA216" s="0" t="s">
        <v>171</v>
      </c>
      <c r="AB216" s="0" t="s">
        <v>46</v>
      </c>
      <c r="AC216" s="0" t="s">
        <v>51</v>
      </c>
      <c r="AD216" s="0" t="s">
        <v>52</v>
      </c>
      <c r="AE216" s="0" t="s">
        <v>1288</v>
      </c>
      <c r="AF216" s="0" t="s">
        <v>1289</v>
      </c>
      <c r="AG216" s="0" t="s">
        <v>1290</v>
      </c>
      <c r="AH216" s="0" t="s">
        <v>46</v>
      </c>
      <c r="AI216" s="0" t="s">
        <v>46</v>
      </c>
      <c r="AJ216" s="0" t="s">
        <v>46</v>
      </c>
      <c r="AK216" s="0" t="s">
        <v>46</v>
      </c>
      <c r="AL216" s="0" t="s">
        <v>46</v>
      </c>
    </row>
    <row r="217" customFormat="false" ht="15" hidden="false" customHeight="false" outlineLevel="0" collapsed="false">
      <c r="B217" s="0" t="str">
        <f aca="false">HYPERLINK("https://genome.ucsc.edu/cgi-bin/hgTracks?db=hg19&amp;position=chr17%3A53342954%2D53342954", "chr17:53342954")</f>
        <v>chr17:53342954</v>
      </c>
      <c r="C217" s="0" t="s">
        <v>279</v>
      </c>
      <c r="D217" s="0" t="n">
        <v>53342954</v>
      </c>
      <c r="E217" s="0" t="n">
        <v>53342954</v>
      </c>
      <c r="F217" s="0" t="s">
        <v>69</v>
      </c>
      <c r="G217" s="0" t="s">
        <v>57</v>
      </c>
      <c r="H217" s="0" t="s">
        <v>1291</v>
      </c>
      <c r="I217" s="0" t="s">
        <v>1292</v>
      </c>
      <c r="J217" s="0" t="s">
        <v>1293</v>
      </c>
      <c r="K217" s="0" t="s">
        <v>46</v>
      </c>
      <c r="L217" s="0" t="s">
        <v>46</v>
      </c>
      <c r="M217" s="0" t="str">
        <f aca="false">HYPERLINK("https://www.genecards.org/Search/Keyword?queryString=%5Baliases%5D(%20HLF%20)&amp;keywords=HLF", "HLF")</f>
        <v>HLF</v>
      </c>
      <c r="N217" s="0" t="s">
        <v>98</v>
      </c>
      <c r="O217" s="0" t="s">
        <v>99</v>
      </c>
      <c r="P217" s="0" t="s">
        <v>1294</v>
      </c>
      <c r="Q217" s="0" t="n">
        <v>-1</v>
      </c>
      <c r="R217" s="0" t="n">
        <v>-1</v>
      </c>
      <c r="S217" s="0" t="n">
        <v>-1</v>
      </c>
      <c r="T217" s="0" t="n">
        <v>-1</v>
      </c>
      <c r="U217" s="0" t="n">
        <v>-1</v>
      </c>
      <c r="V217" s="0" t="s">
        <v>215</v>
      </c>
      <c r="W217" s="0" t="s">
        <v>46</v>
      </c>
      <c r="X217" s="0" t="s">
        <v>46</v>
      </c>
      <c r="Y217" s="0" t="s">
        <v>46</v>
      </c>
      <c r="Z217" s="0" t="s">
        <v>102</v>
      </c>
      <c r="AA217" s="0" t="s">
        <v>171</v>
      </c>
      <c r="AB217" s="0" t="s">
        <v>46</v>
      </c>
      <c r="AC217" s="0" t="s">
        <v>51</v>
      </c>
      <c r="AD217" s="0" t="s">
        <v>52</v>
      </c>
      <c r="AE217" s="0" t="s">
        <v>1295</v>
      </c>
      <c r="AF217" s="0" t="s">
        <v>1296</v>
      </c>
      <c r="AG217" s="0" t="s">
        <v>46</v>
      </c>
      <c r="AH217" s="0" t="s">
        <v>1297</v>
      </c>
      <c r="AI217" s="0" t="s">
        <v>46</v>
      </c>
      <c r="AJ217" s="0" t="s">
        <v>46</v>
      </c>
      <c r="AK217" s="0" t="s">
        <v>46</v>
      </c>
      <c r="AL217" s="0" t="s">
        <v>46</v>
      </c>
    </row>
    <row r="218" customFormat="false" ht="15" hidden="false" customHeight="false" outlineLevel="0" collapsed="false">
      <c r="B218" s="0" t="str">
        <f aca="false">HYPERLINK("https://genome.ucsc.edu/cgi-bin/hgTracks?db=hg19&amp;position=chr17%3A58303400%2D58303400", "chr17:58303400")</f>
        <v>chr17:58303400</v>
      </c>
      <c r="C218" s="0" t="s">
        <v>279</v>
      </c>
      <c r="D218" s="0" t="n">
        <v>58303400</v>
      </c>
      <c r="E218" s="0" t="n">
        <v>58303400</v>
      </c>
      <c r="F218" s="0" t="s">
        <v>39</v>
      </c>
      <c r="G218" s="0" t="s">
        <v>40</v>
      </c>
      <c r="H218" s="0" t="s">
        <v>1298</v>
      </c>
      <c r="I218" s="0" t="s">
        <v>1146</v>
      </c>
      <c r="J218" s="0" t="s">
        <v>1299</v>
      </c>
      <c r="K218" s="0" t="s">
        <v>46</v>
      </c>
      <c r="L218" s="0" t="str">
        <f aca="false">HYPERLINK("https://www.ncbi.nlm.nih.gov/snp/rs147383770", "rs147383770")</f>
        <v>rs147383770</v>
      </c>
      <c r="M218" s="0" t="str">
        <f aca="false">HYPERLINK("https://www.genecards.org/Search/Keyword?queryString=%5Baliases%5D(%20USP32%20)&amp;keywords=USP32", "USP32")</f>
        <v>USP32</v>
      </c>
      <c r="N218" s="0" t="s">
        <v>98</v>
      </c>
      <c r="O218" s="0" t="s">
        <v>99</v>
      </c>
      <c r="P218" s="0" t="s">
        <v>1300</v>
      </c>
      <c r="Q218" s="0" t="n">
        <v>0.0002</v>
      </c>
      <c r="R218" s="0" t="n">
        <v>9.056E-005</v>
      </c>
      <c r="S218" s="0" t="n">
        <v>7.367E-005</v>
      </c>
      <c r="T218" s="0" t="n">
        <v>-1</v>
      </c>
      <c r="U218" s="0" t="n">
        <v>0.0002</v>
      </c>
      <c r="V218" s="0" t="s">
        <v>1301</v>
      </c>
      <c r="W218" s="0" t="s">
        <v>999</v>
      </c>
      <c r="X218" s="0" t="s">
        <v>46</v>
      </c>
      <c r="Y218" s="0" t="s">
        <v>46</v>
      </c>
      <c r="Z218" s="0" t="s">
        <v>138</v>
      </c>
      <c r="AA218" s="0" t="s">
        <v>171</v>
      </c>
      <c r="AB218" s="0" t="s">
        <v>46</v>
      </c>
      <c r="AC218" s="0" t="s">
        <v>51</v>
      </c>
      <c r="AD218" s="0" t="s">
        <v>52</v>
      </c>
      <c r="AE218" s="0" t="s">
        <v>1302</v>
      </c>
      <c r="AF218" s="0" t="s">
        <v>1303</v>
      </c>
      <c r="AG218" s="0" t="s">
        <v>46</v>
      </c>
      <c r="AH218" s="0" t="s">
        <v>46</v>
      </c>
      <c r="AI218" s="0" t="s">
        <v>46</v>
      </c>
      <c r="AJ218" s="0" t="s">
        <v>46</v>
      </c>
      <c r="AK218" s="0" t="s">
        <v>46</v>
      </c>
      <c r="AL218" s="0" t="s">
        <v>46</v>
      </c>
    </row>
    <row r="219" customFormat="false" ht="15" hidden="false" customHeight="false" outlineLevel="0" collapsed="false">
      <c r="B219" s="0" t="str">
        <f aca="false">HYPERLINK("https://genome.ucsc.edu/cgi-bin/hgTracks?db=hg19&amp;position=chr17%3A73987590%2D73987590", "chr17:73987590")</f>
        <v>chr17:73987590</v>
      </c>
      <c r="C219" s="0" t="s">
        <v>279</v>
      </c>
      <c r="D219" s="0" t="n">
        <v>73987590</v>
      </c>
      <c r="E219" s="0" t="n">
        <v>73987590</v>
      </c>
      <c r="F219" s="0" t="s">
        <v>69</v>
      </c>
      <c r="G219" s="0" t="s">
        <v>40</v>
      </c>
      <c r="H219" s="0" t="s">
        <v>1304</v>
      </c>
      <c r="I219" s="0" t="s">
        <v>761</v>
      </c>
      <c r="J219" s="0" t="s">
        <v>1305</v>
      </c>
      <c r="K219" s="0" t="s">
        <v>46</v>
      </c>
      <c r="L219" s="0" t="str">
        <f aca="false">HYPERLINK("https://www.ncbi.nlm.nih.gov/snp/rs11544990", "rs11544990")</f>
        <v>rs11544990</v>
      </c>
      <c r="M219" s="0" t="str">
        <f aca="false">HYPERLINK("https://www.genecards.org/Search/Keyword?queryString=%5Baliases%5D(%20TEN1%20)&amp;keywords=TEN1", "TEN1")</f>
        <v>TEN1</v>
      </c>
      <c r="N219" s="0" t="s">
        <v>1306</v>
      </c>
      <c r="O219" s="0" t="s">
        <v>99</v>
      </c>
      <c r="P219" s="0" t="s">
        <v>1307</v>
      </c>
      <c r="Q219" s="0" t="n">
        <v>0.0229</v>
      </c>
      <c r="R219" s="0" t="n">
        <v>0.0209</v>
      </c>
      <c r="S219" s="0" t="n">
        <v>0.0215</v>
      </c>
      <c r="T219" s="0" t="n">
        <v>-1</v>
      </c>
      <c r="U219" s="0" t="n">
        <v>0.0163</v>
      </c>
      <c r="V219" s="0" t="s">
        <v>365</v>
      </c>
      <c r="W219" s="0" t="s">
        <v>46</v>
      </c>
      <c r="X219" s="0" t="s">
        <v>46</v>
      </c>
      <c r="Y219" s="0" t="s">
        <v>46</v>
      </c>
      <c r="Z219" s="0" t="s">
        <v>138</v>
      </c>
      <c r="AA219" s="0" t="s">
        <v>171</v>
      </c>
      <c r="AB219" s="0" t="s">
        <v>46</v>
      </c>
      <c r="AC219" s="0" t="s">
        <v>51</v>
      </c>
      <c r="AD219" s="0" t="s">
        <v>52</v>
      </c>
      <c r="AE219" s="0" t="s">
        <v>46</v>
      </c>
      <c r="AF219" s="0" t="s">
        <v>1308</v>
      </c>
      <c r="AG219" s="0" t="s">
        <v>1309</v>
      </c>
      <c r="AH219" s="0" t="s">
        <v>46</v>
      </c>
      <c r="AI219" s="0" t="s">
        <v>46</v>
      </c>
      <c r="AJ219" s="0" t="s">
        <v>46</v>
      </c>
      <c r="AK219" s="0" t="s">
        <v>46</v>
      </c>
      <c r="AL219" s="0" t="s">
        <v>46</v>
      </c>
    </row>
    <row r="220" customFormat="false" ht="15" hidden="false" customHeight="false" outlineLevel="0" collapsed="false">
      <c r="B220" s="0" t="str">
        <f aca="false">HYPERLINK("https://genome.ucsc.edu/cgi-bin/hgTracks?db=hg19&amp;position=chr17%3A79096100%2D79096100", "chr17:79096100")</f>
        <v>chr17:79096100</v>
      </c>
      <c r="C220" s="0" t="s">
        <v>279</v>
      </c>
      <c r="D220" s="0" t="n">
        <v>79096100</v>
      </c>
      <c r="E220" s="0" t="n">
        <v>79096100</v>
      </c>
      <c r="F220" s="0" t="s">
        <v>39</v>
      </c>
      <c r="G220" s="0" t="s">
        <v>69</v>
      </c>
      <c r="H220" s="0" t="s">
        <v>1310</v>
      </c>
      <c r="I220" s="0" t="s">
        <v>348</v>
      </c>
      <c r="J220" s="0" t="s">
        <v>1311</v>
      </c>
      <c r="K220" s="0" t="s">
        <v>46</v>
      </c>
      <c r="L220" s="0" t="str">
        <f aca="false">HYPERLINK("https://www.ncbi.nlm.nih.gov/snp/rs62073020", "rs62073020")</f>
        <v>rs62073020</v>
      </c>
      <c r="M220" s="0" t="str">
        <f aca="false">HYPERLINK("https://www.genecards.org/Search/Keyword?queryString=%5Baliases%5D(%20AATK%20)&amp;keywords=AATK", "AATK")</f>
        <v>AATK</v>
      </c>
      <c r="N220" s="0" t="s">
        <v>98</v>
      </c>
      <c r="O220" s="0" t="s">
        <v>99</v>
      </c>
      <c r="P220" s="0" t="s">
        <v>1312</v>
      </c>
      <c r="Q220" s="0" t="n">
        <v>0.009983</v>
      </c>
      <c r="R220" s="0" t="n">
        <v>0.0057</v>
      </c>
      <c r="S220" s="0" t="n">
        <v>0.0055</v>
      </c>
      <c r="T220" s="0" t="n">
        <v>-1</v>
      </c>
      <c r="U220" s="0" t="n">
        <v>0.0064</v>
      </c>
      <c r="V220" s="0" t="s">
        <v>291</v>
      </c>
      <c r="W220" s="0" t="s">
        <v>46</v>
      </c>
      <c r="X220" s="0" t="s">
        <v>46</v>
      </c>
      <c r="Y220" s="0" t="s">
        <v>46</v>
      </c>
      <c r="Z220" s="0" t="s">
        <v>49</v>
      </c>
      <c r="AA220" s="0" t="s">
        <v>171</v>
      </c>
      <c r="AB220" s="0" t="s">
        <v>46</v>
      </c>
      <c r="AC220" s="0" t="s">
        <v>51</v>
      </c>
      <c r="AD220" s="0" t="s">
        <v>52</v>
      </c>
      <c r="AE220" s="0" t="s">
        <v>1313</v>
      </c>
      <c r="AF220" s="0" t="s">
        <v>1314</v>
      </c>
      <c r="AG220" s="0" t="s">
        <v>1315</v>
      </c>
      <c r="AH220" s="0" t="s">
        <v>46</v>
      </c>
      <c r="AI220" s="0" t="s">
        <v>46</v>
      </c>
      <c r="AJ220" s="0" t="s">
        <v>46</v>
      </c>
      <c r="AK220" s="0" t="s">
        <v>46</v>
      </c>
      <c r="AL220" s="0" t="s">
        <v>46</v>
      </c>
    </row>
    <row r="221" customFormat="false" ht="15" hidden="false" customHeight="false" outlineLevel="0" collapsed="false">
      <c r="B221" s="0" t="str">
        <f aca="false">HYPERLINK("https://genome.ucsc.edu/cgi-bin/hgTracks?db=hg19&amp;position=chr17%3A79405497%2D79405497", "chr17:79405497")</f>
        <v>chr17:79405497</v>
      </c>
      <c r="C221" s="0" t="s">
        <v>279</v>
      </c>
      <c r="D221" s="0" t="n">
        <v>79405497</v>
      </c>
      <c r="E221" s="0" t="n">
        <v>79405497</v>
      </c>
      <c r="F221" s="0" t="s">
        <v>39</v>
      </c>
      <c r="G221" s="0" t="s">
        <v>40</v>
      </c>
      <c r="H221" s="0" t="s">
        <v>1316</v>
      </c>
      <c r="I221" s="0" t="s">
        <v>520</v>
      </c>
      <c r="J221" s="0" t="s">
        <v>1317</v>
      </c>
      <c r="K221" s="0" t="s">
        <v>46</v>
      </c>
      <c r="L221" s="0" t="str">
        <f aca="false">HYPERLINK("https://www.ncbi.nlm.nih.gov/snp/rs782607989", "rs782607989")</f>
        <v>rs782607989</v>
      </c>
      <c r="M221" s="0" t="str">
        <f aca="false">HYPERLINK("https://www.genecards.org/Search/Keyword?queryString=%5Baliases%5D(%20BAHCC1%20)&amp;keywords=BAHCC1", "BAHCC1")</f>
        <v>BAHCC1</v>
      </c>
      <c r="N221" s="0" t="s">
        <v>98</v>
      </c>
      <c r="O221" s="0" t="s">
        <v>1318</v>
      </c>
      <c r="P221" s="0" t="s">
        <v>1319</v>
      </c>
      <c r="Q221" s="0" t="n">
        <v>6.5E-006</v>
      </c>
      <c r="R221" s="0" t="n">
        <v>-1</v>
      </c>
      <c r="S221" s="0" t="n">
        <v>-1</v>
      </c>
      <c r="T221" s="0" t="n">
        <v>-1</v>
      </c>
      <c r="U221" s="0" t="n">
        <v>-1</v>
      </c>
      <c r="V221" s="0" t="s">
        <v>194</v>
      </c>
      <c r="W221" s="0" t="s">
        <v>46</v>
      </c>
      <c r="X221" s="0" t="s">
        <v>46</v>
      </c>
      <c r="Y221" s="0" t="s">
        <v>46</v>
      </c>
      <c r="Z221" s="0" t="s">
        <v>138</v>
      </c>
      <c r="AA221" s="0" t="s">
        <v>171</v>
      </c>
      <c r="AB221" s="0" t="s">
        <v>46</v>
      </c>
      <c r="AC221" s="0" t="s">
        <v>51</v>
      </c>
      <c r="AD221" s="0" t="s">
        <v>52</v>
      </c>
      <c r="AE221" s="0" t="s">
        <v>46</v>
      </c>
      <c r="AF221" s="0" t="s">
        <v>1320</v>
      </c>
      <c r="AG221" s="0" t="s">
        <v>46</v>
      </c>
      <c r="AH221" s="0" t="s">
        <v>46</v>
      </c>
      <c r="AI221" s="0" t="s">
        <v>46</v>
      </c>
      <c r="AJ221" s="0" t="s">
        <v>46</v>
      </c>
      <c r="AK221" s="0" t="s">
        <v>46</v>
      </c>
      <c r="AL221" s="0" t="s">
        <v>46</v>
      </c>
    </row>
    <row r="222" customFormat="false" ht="15" hidden="false" customHeight="false" outlineLevel="0" collapsed="false">
      <c r="B222" s="0" t="str">
        <f aca="false">HYPERLINK("https://genome.ucsc.edu/cgi-bin/hgTracks?db=hg19&amp;position=chr18%3A7038949%2D7038949", "chr18:7038949")</f>
        <v>chr18:7038949</v>
      </c>
      <c r="C222" s="0" t="s">
        <v>1321</v>
      </c>
      <c r="D222" s="0" t="n">
        <v>7038949</v>
      </c>
      <c r="E222" s="0" t="n">
        <v>7038949</v>
      </c>
      <c r="F222" s="0" t="s">
        <v>39</v>
      </c>
      <c r="G222" s="0" t="s">
        <v>40</v>
      </c>
      <c r="H222" s="0" t="s">
        <v>1322</v>
      </c>
      <c r="I222" s="0" t="s">
        <v>1323</v>
      </c>
      <c r="J222" s="0" t="s">
        <v>1324</v>
      </c>
      <c r="K222" s="0" t="s">
        <v>46</v>
      </c>
      <c r="L222" s="0" t="str">
        <f aca="false">HYPERLINK("https://www.ncbi.nlm.nih.gov/snp/rs754588612", "rs754588612")</f>
        <v>rs754588612</v>
      </c>
      <c r="M222" s="0" t="str">
        <f aca="false">HYPERLINK("https://www.genecards.org/Search/Keyword?queryString=%5Baliases%5D(%20LAMA1%20)&amp;keywords=LAMA1", "LAMA1")</f>
        <v>LAMA1</v>
      </c>
      <c r="N222" s="0" t="s">
        <v>98</v>
      </c>
      <c r="O222" s="0" t="s">
        <v>99</v>
      </c>
      <c r="P222" s="0" t="s">
        <v>1325</v>
      </c>
      <c r="Q222" s="0" t="n">
        <v>5.82E-005</v>
      </c>
      <c r="R222" s="0" t="n">
        <v>-1</v>
      </c>
      <c r="S222" s="0" t="n">
        <v>-1</v>
      </c>
      <c r="T222" s="0" t="n">
        <v>-1</v>
      </c>
      <c r="U222" s="0" t="n">
        <v>-1</v>
      </c>
      <c r="V222" s="0" t="s">
        <v>215</v>
      </c>
      <c r="W222" s="0" t="s">
        <v>40</v>
      </c>
      <c r="X222" s="0" t="s">
        <v>46</v>
      </c>
      <c r="Y222" s="0" t="s">
        <v>46</v>
      </c>
      <c r="Z222" s="0" t="s">
        <v>159</v>
      </c>
      <c r="AA222" s="0" t="s">
        <v>171</v>
      </c>
      <c r="AB222" s="0" t="s">
        <v>46</v>
      </c>
      <c r="AC222" s="0" t="s">
        <v>51</v>
      </c>
      <c r="AD222" s="0" t="s">
        <v>856</v>
      </c>
      <c r="AE222" s="0" t="s">
        <v>1326</v>
      </c>
      <c r="AF222" s="0" t="s">
        <v>1327</v>
      </c>
      <c r="AG222" s="0" t="s">
        <v>1328</v>
      </c>
      <c r="AH222" s="0" t="s">
        <v>1329</v>
      </c>
      <c r="AI222" s="0" t="s">
        <v>46</v>
      </c>
      <c r="AJ222" s="0" t="s">
        <v>46</v>
      </c>
      <c r="AK222" s="0" t="s">
        <v>46</v>
      </c>
      <c r="AL222" s="0" t="s">
        <v>46</v>
      </c>
    </row>
    <row r="223" customFormat="false" ht="15" hidden="false" customHeight="false" outlineLevel="0" collapsed="false">
      <c r="B223" s="0" t="str">
        <f aca="false">HYPERLINK("https://genome.ucsc.edu/cgi-bin/hgTracks?db=hg19&amp;position=chr18%3A33048642%2D33048642", "chr18:33048642")</f>
        <v>chr18:33048642</v>
      </c>
      <c r="C223" s="0" t="s">
        <v>1321</v>
      </c>
      <c r="D223" s="0" t="n">
        <v>33048642</v>
      </c>
      <c r="E223" s="0" t="n">
        <v>33048642</v>
      </c>
      <c r="F223" s="0" t="s">
        <v>39</v>
      </c>
      <c r="G223" s="0" t="s">
        <v>40</v>
      </c>
      <c r="H223" s="0" t="s">
        <v>1133</v>
      </c>
      <c r="I223" s="0" t="s">
        <v>464</v>
      </c>
      <c r="J223" s="0" t="s">
        <v>1330</v>
      </c>
      <c r="K223" s="0" t="s">
        <v>46</v>
      </c>
      <c r="L223" s="0" t="str">
        <f aca="false">HYPERLINK("https://www.ncbi.nlm.nih.gov/snp/rs112429593", "rs112429593")</f>
        <v>rs112429593</v>
      </c>
      <c r="M223" s="0" t="str">
        <f aca="false">HYPERLINK("https://www.genecards.org/Search/Keyword?queryString=%5Baliases%5D(%20INO80C%20)&amp;keywords=INO80C", "INO80C")</f>
        <v>INO80C</v>
      </c>
      <c r="N223" s="0" t="s">
        <v>98</v>
      </c>
      <c r="O223" s="0" t="s">
        <v>99</v>
      </c>
      <c r="P223" s="0" t="s">
        <v>1331</v>
      </c>
      <c r="Q223" s="0" t="n">
        <v>0.0095</v>
      </c>
      <c r="R223" s="0" t="n">
        <v>0.0087</v>
      </c>
      <c r="S223" s="0" t="n">
        <v>0.0108</v>
      </c>
      <c r="T223" s="0" t="n">
        <v>-1</v>
      </c>
      <c r="U223" s="0" t="n">
        <v>0.0041</v>
      </c>
      <c r="V223" s="0" t="s">
        <v>1332</v>
      </c>
      <c r="W223" s="0" t="s">
        <v>46</v>
      </c>
      <c r="X223" s="0" t="s">
        <v>46</v>
      </c>
      <c r="Y223" s="0" t="s">
        <v>46</v>
      </c>
      <c r="Z223" s="0" t="s">
        <v>231</v>
      </c>
      <c r="AA223" s="0" t="s">
        <v>171</v>
      </c>
      <c r="AB223" s="0" t="s">
        <v>46</v>
      </c>
      <c r="AC223" s="0" t="s">
        <v>51</v>
      </c>
      <c r="AD223" s="0" t="s">
        <v>52</v>
      </c>
      <c r="AE223" s="0" t="s">
        <v>1333</v>
      </c>
      <c r="AF223" s="0" t="s">
        <v>1334</v>
      </c>
      <c r="AG223" s="0" t="s">
        <v>1335</v>
      </c>
      <c r="AH223" s="0" t="s">
        <v>46</v>
      </c>
      <c r="AI223" s="0" t="s">
        <v>46</v>
      </c>
      <c r="AJ223" s="0" t="s">
        <v>46</v>
      </c>
      <c r="AK223" s="0" t="s">
        <v>46</v>
      </c>
      <c r="AL223" s="0" t="s">
        <v>46</v>
      </c>
    </row>
    <row r="224" customFormat="false" ht="15" hidden="false" customHeight="false" outlineLevel="0" collapsed="false">
      <c r="B224" s="0" t="str">
        <f aca="false">HYPERLINK("https://genome.ucsc.edu/cgi-bin/hgTracks?db=hg19&amp;position=chr18%3A51888436%2D51888436", "chr18:51888436")</f>
        <v>chr18:51888436</v>
      </c>
      <c r="C224" s="0" t="s">
        <v>1321</v>
      </c>
      <c r="D224" s="0" t="n">
        <v>51888436</v>
      </c>
      <c r="E224" s="0" t="n">
        <v>51888436</v>
      </c>
      <c r="F224" s="0" t="s">
        <v>57</v>
      </c>
      <c r="G224" s="0" t="s">
        <v>69</v>
      </c>
      <c r="H224" s="0" t="s">
        <v>968</v>
      </c>
      <c r="I224" s="0" t="s">
        <v>434</v>
      </c>
      <c r="J224" s="0" t="s">
        <v>1336</v>
      </c>
      <c r="K224" s="0" t="s">
        <v>46</v>
      </c>
      <c r="L224" s="0" t="s">
        <v>46</v>
      </c>
      <c r="M224" s="0" t="str">
        <f aca="false">HYPERLINK("https://www.genecards.org/Search/Keyword?queryString=%5Baliases%5D(%20C18orf54%20)&amp;keywords=C18orf54", "C18orf54")</f>
        <v>C18orf54</v>
      </c>
      <c r="N224" s="0" t="s">
        <v>98</v>
      </c>
      <c r="O224" s="0" t="s">
        <v>99</v>
      </c>
      <c r="P224" s="0" t="s">
        <v>1337</v>
      </c>
      <c r="Q224" s="0" t="n">
        <v>-1</v>
      </c>
      <c r="R224" s="0" t="n">
        <v>-1</v>
      </c>
      <c r="S224" s="0" t="n">
        <v>-1</v>
      </c>
      <c r="T224" s="0" t="n">
        <v>-1</v>
      </c>
      <c r="U224" s="0" t="n">
        <v>-1</v>
      </c>
      <c r="V224" s="0" t="s">
        <v>194</v>
      </c>
      <c r="W224" s="0" t="s">
        <v>46</v>
      </c>
      <c r="X224" s="0" t="s">
        <v>46</v>
      </c>
      <c r="Y224" s="0" t="s">
        <v>46</v>
      </c>
      <c r="Z224" s="0" t="s">
        <v>102</v>
      </c>
      <c r="AA224" s="0" t="s">
        <v>171</v>
      </c>
      <c r="AB224" s="0" t="s">
        <v>46</v>
      </c>
      <c r="AC224" s="0" t="s">
        <v>51</v>
      </c>
      <c r="AD224" s="0" t="s">
        <v>52</v>
      </c>
      <c r="AE224" s="0" t="s">
        <v>1338</v>
      </c>
      <c r="AF224" s="0" t="s">
        <v>1339</v>
      </c>
      <c r="AG224" s="0" t="s">
        <v>1340</v>
      </c>
      <c r="AH224" s="0" t="s">
        <v>46</v>
      </c>
      <c r="AI224" s="0" t="s">
        <v>46</v>
      </c>
      <c r="AJ224" s="0" t="s">
        <v>46</v>
      </c>
      <c r="AK224" s="0" t="s">
        <v>46</v>
      </c>
      <c r="AL224" s="0" t="s">
        <v>46</v>
      </c>
    </row>
    <row r="225" customFormat="false" ht="15" hidden="false" customHeight="false" outlineLevel="0" collapsed="false">
      <c r="B225" s="0" t="str">
        <f aca="false">HYPERLINK("https://genome.ucsc.edu/cgi-bin/hgTracks?db=hg19&amp;position=chr18%3A74728772%2D74728772", "chr18:74728772")</f>
        <v>chr18:74728772</v>
      </c>
      <c r="C225" s="0" t="s">
        <v>1321</v>
      </c>
      <c r="D225" s="0" t="n">
        <v>74728772</v>
      </c>
      <c r="E225" s="0" t="n">
        <v>74728772</v>
      </c>
      <c r="F225" s="0" t="s">
        <v>57</v>
      </c>
      <c r="G225" s="0" t="s">
        <v>69</v>
      </c>
      <c r="H225" s="0" t="s">
        <v>1341</v>
      </c>
      <c r="I225" s="0" t="s">
        <v>1226</v>
      </c>
      <c r="J225" s="0" t="s">
        <v>1342</v>
      </c>
      <c r="K225" s="0" t="s">
        <v>46</v>
      </c>
      <c r="L225" s="0" t="str">
        <f aca="false">HYPERLINK("https://www.ncbi.nlm.nih.gov/snp/rs142907876", "rs142907876")</f>
        <v>rs142907876</v>
      </c>
      <c r="M225" s="0" t="str">
        <f aca="false">HYPERLINK("https://www.genecards.org/Search/Keyword?queryString=%5Baliases%5D(%20MBP%20)&amp;keywords=MBP", "MBP")</f>
        <v>MBP</v>
      </c>
      <c r="N225" s="0" t="s">
        <v>98</v>
      </c>
      <c r="O225" s="0" t="s">
        <v>554</v>
      </c>
      <c r="P225" s="0" t="s">
        <v>1343</v>
      </c>
      <c r="Q225" s="0" t="n">
        <v>0.0089</v>
      </c>
      <c r="R225" s="0" t="n">
        <v>0.0093</v>
      </c>
      <c r="S225" s="0" t="n">
        <v>0.0083</v>
      </c>
      <c r="T225" s="0" t="n">
        <v>-1</v>
      </c>
      <c r="U225" s="0" t="n">
        <v>0.0135</v>
      </c>
      <c r="V225" s="0" t="s">
        <v>827</v>
      </c>
      <c r="W225" s="0" t="s">
        <v>46</v>
      </c>
      <c r="X225" s="0" t="s">
        <v>46</v>
      </c>
      <c r="Y225" s="0" t="s">
        <v>46</v>
      </c>
      <c r="Z225" s="0" t="s">
        <v>159</v>
      </c>
      <c r="AA225" s="0" t="s">
        <v>171</v>
      </c>
      <c r="AB225" s="0" t="s">
        <v>46</v>
      </c>
      <c r="AC225" s="0" t="s">
        <v>51</v>
      </c>
      <c r="AD225" s="0" t="s">
        <v>52</v>
      </c>
      <c r="AE225" s="0" t="s">
        <v>1344</v>
      </c>
      <c r="AF225" s="0" t="s">
        <v>1345</v>
      </c>
      <c r="AG225" s="0" t="s">
        <v>1346</v>
      </c>
      <c r="AH225" s="0" t="s">
        <v>1347</v>
      </c>
      <c r="AI225" s="0" t="s">
        <v>46</v>
      </c>
      <c r="AJ225" s="0" t="s">
        <v>46</v>
      </c>
      <c r="AK225" s="0" t="s">
        <v>46</v>
      </c>
      <c r="AL225" s="0" t="s">
        <v>46</v>
      </c>
    </row>
    <row r="226" customFormat="false" ht="15" hidden="false" customHeight="false" outlineLevel="0" collapsed="false">
      <c r="B226" s="0" t="str">
        <f aca="false">HYPERLINK("https://genome.ucsc.edu/cgi-bin/hgTracks?db=hg19&amp;position=chr19%3A3595806%2D3595806", "chr19:3595806")</f>
        <v>chr19:3595806</v>
      </c>
      <c r="C226" s="0" t="s">
        <v>1348</v>
      </c>
      <c r="D226" s="0" t="n">
        <v>3595806</v>
      </c>
      <c r="E226" s="0" t="n">
        <v>3595806</v>
      </c>
      <c r="F226" s="0" t="s">
        <v>69</v>
      </c>
      <c r="G226" s="0" t="s">
        <v>57</v>
      </c>
      <c r="H226" s="0" t="s">
        <v>1349</v>
      </c>
      <c r="I226" s="0" t="s">
        <v>220</v>
      </c>
      <c r="J226" s="0" t="s">
        <v>1350</v>
      </c>
      <c r="K226" s="0" t="s">
        <v>46</v>
      </c>
      <c r="L226" s="0" t="s">
        <v>46</v>
      </c>
      <c r="M226" s="0" t="str">
        <f aca="false">HYPERLINK("https://www.genecards.org/Search/Keyword?queryString=%5Baliases%5D(%20TBXA2R%20)&amp;keywords=TBXA2R", "TBXA2R")</f>
        <v>TBXA2R</v>
      </c>
      <c r="N226" s="0" t="s">
        <v>98</v>
      </c>
      <c r="O226" s="0" t="s">
        <v>1351</v>
      </c>
      <c r="P226" s="0" t="s">
        <v>1352</v>
      </c>
      <c r="Q226" s="0" t="n">
        <v>-1</v>
      </c>
      <c r="R226" s="0" t="n">
        <v>-1</v>
      </c>
      <c r="S226" s="0" t="n">
        <v>-1</v>
      </c>
      <c r="T226" s="0" t="n">
        <v>-1</v>
      </c>
      <c r="U226" s="0" t="n">
        <v>-1</v>
      </c>
      <c r="V226" s="0" t="s">
        <v>1353</v>
      </c>
      <c r="W226" s="0" t="s">
        <v>46</v>
      </c>
      <c r="X226" s="0" t="s">
        <v>46</v>
      </c>
      <c r="Y226" s="0" t="s">
        <v>46</v>
      </c>
      <c r="Z226" s="0" t="s">
        <v>138</v>
      </c>
      <c r="AA226" s="0" t="s">
        <v>171</v>
      </c>
      <c r="AB226" s="0" t="s">
        <v>46</v>
      </c>
      <c r="AC226" s="0" t="s">
        <v>51</v>
      </c>
      <c r="AD226" s="0" t="s">
        <v>52</v>
      </c>
      <c r="AE226" s="0" t="s">
        <v>1354</v>
      </c>
      <c r="AF226" s="0" t="s">
        <v>1355</v>
      </c>
      <c r="AG226" s="0" t="s">
        <v>1356</v>
      </c>
      <c r="AH226" s="0" t="s">
        <v>1357</v>
      </c>
      <c r="AI226" s="0" t="s">
        <v>46</v>
      </c>
      <c r="AJ226" s="0" t="s">
        <v>46</v>
      </c>
      <c r="AK226" s="0" t="s">
        <v>46</v>
      </c>
      <c r="AL226" s="0" t="s">
        <v>46</v>
      </c>
    </row>
    <row r="227" customFormat="false" ht="15" hidden="false" customHeight="false" outlineLevel="0" collapsed="false">
      <c r="B227" s="0" t="str">
        <f aca="false">HYPERLINK("https://genome.ucsc.edu/cgi-bin/hgTracks?db=hg19&amp;position=chr19%3A5785614%2D5785614", "chr19:5785614")</f>
        <v>chr19:5785614</v>
      </c>
      <c r="C227" s="0" t="s">
        <v>1348</v>
      </c>
      <c r="D227" s="0" t="n">
        <v>5785614</v>
      </c>
      <c r="E227" s="0" t="n">
        <v>5785614</v>
      </c>
      <c r="F227" s="0" t="s">
        <v>39</v>
      </c>
      <c r="G227" s="0" t="s">
        <v>40</v>
      </c>
      <c r="H227" s="0" t="s">
        <v>1358</v>
      </c>
      <c r="I227" s="0" t="s">
        <v>348</v>
      </c>
      <c r="J227" s="0" t="s">
        <v>1359</v>
      </c>
      <c r="K227" s="0" t="s">
        <v>46</v>
      </c>
      <c r="L227" s="0" t="str">
        <f aca="false">HYPERLINK("https://www.ncbi.nlm.nih.gov/snp/rs747265517", "rs747265517")</f>
        <v>rs747265517</v>
      </c>
      <c r="M227" s="0" t="str">
        <f aca="false">HYPERLINK("https://www.genecards.org/Search/Keyword?queryString=%5Baliases%5D(%20DUS3L%20)&amp;keywords=DUS3L", "DUS3L")</f>
        <v>DUS3L</v>
      </c>
      <c r="N227" s="0" t="s">
        <v>98</v>
      </c>
      <c r="O227" s="0" t="s">
        <v>99</v>
      </c>
      <c r="P227" s="0" t="s">
        <v>1360</v>
      </c>
      <c r="Q227" s="0" t="n">
        <v>6.5E-006</v>
      </c>
      <c r="R227" s="0" t="n">
        <v>-1</v>
      </c>
      <c r="S227" s="0" t="n">
        <v>-1</v>
      </c>
      <c r="T227" s="0" t="n">
        <v>-1</v>
      </c>
      <c r="U227" s="0" t="n">
        <v>-1</v>
      </c>
      <c r="V227" s="0" t="s">
        <v>596</v>
      </c>
      <c r="W227" s="0" t="s">
        <v>999</v>
      </c>
      <c r="X227" s="0" t="s">
        <v>46</v>
      </c>
      <c r="Y227" s="0" t="s">
        <v>46</v>
      </c>
      <c r="Z227" s="0" t="s">
        <v>159</v>
      </c>
      <c r="AA227" s="0" t="s">
        <v>171</v>
      </c>
      <c r="AB227" s="0" t="s">
        <v>46</v>
      </c>
      <c r="AC227" s="0" t="s">
        <v>51</v>
      </c>
      <c r="AD227" s="0" t="s">
        <v>52</v>
      </c>
      <c r="AE227" s="0" t="s">
        <v>1361</v>
      </c>
      <c r="AF227" s="0" t="s">
        <v>1362</v>
      </c>
      <c r="AG227" s="0" t="s">
        <v>1363</v>
      </c>
      <c r="AH227" s="0" t="s">
        <v>46</v>
      </c>
      <c r="AI227" s="0" t="s">
        <v>46</v>
      </c>
      <c r="AJ227" s="0" t="s">
        <v>46</v>
      </c>
      <c r="AK227" s="0" t="s">
        <v>46</v>
      </c>
      <c r="AL227" s="0" t="s">
        <v>46</v>
      </c>
    </row>
    <row r="228" customFormat="false" ht="15" hidden="false" customHeight="false" outlineLevel="0" collapsed="false">
      <c r="B228" s="0" t="str">
        <f aca="false">HYPERLINK("https://genome.ucsc.edu/cgi-bin/hgTracks?db=hg19&amp;position=chr19%3A5908968%2D5908968", "chr19:5908968")</f>
        <v>chr19:5908968</v>
      </c>
      <c r="C228" s="0" t="s">
        <v>1348</v>
      </c>
      <c r="D228" s="0" t="n">
        <v>5908968</v>
      </c>
      <c r="E228" s="0" t="n">
        <v>5908968</v>
      </c>
      <c r="F228" s="0" t="s">
        <v>39</v>
      </c>
      <c r="G228" s="0" t="s">
        <v>40</v>
      </c>
      <c r="H228" s="0" t="s">
        <v>702</v>
      </c>
      <c r="I228" s="0" t="s">
        <v>1226</v>
      </c>
      <c r="J228" s="0" t="s">
        <v>1364</v>
      </c>
      <c r="K228" s="0" t="s">
        <v>46</v>
      </c>
      <c r="L228" s="0" t="str">
        <f aca="false">HYPERLINK("https://www.ncbi.nlm.nih.gov/snp/rs137868133", "rs137868133")</f>
        <v>rs137868133</v>
      </c>
      <c r="M228" s="0" t="str">
        <f aca="false">HYPERLINK("https://www.genecards.org/Search/Keyword?queryString=%5Baliases%5D(%20VMAC%20)&amp;keywords=VMAC", "VMAC")</f>
        <v>VMAC</v>
      </c>
      <c r="N228" s="0" t="s">
        <v>98</v>
      </c>
      <c r="O228" s="0" t="s">
        <v>99</v>
      </c>
      <c r="P228" s="0" t="s">
        <v>1365</v>
      </c>
      <c r="Q228" s="0" t="n">
        <v>0.005102</v>
      </c>
      <c r="R228" s="0" t="n">
        <v>0.0025</v>
      </c>
      <c r="S228" s="0" t="n">
        <v>0.0028</v>
      </c>
      <c r="T228" s="0" t="n">
        <v>-1</v>
      </c>
      <c r="U228" s="0" t="n">
        <v>0.0041</v>
      </c>
      <c r="V228" s="0" t="s">
        <v>148</v>
      </c>
      <c r="W228" s="0" t="s">
        <v>46</v>
      </c>
      <c r="X228" s="0" t="s">
        <v>46</v>
      </c>
      <c r="Y228" s="0" t="s">
        <v>46</v>
      </c>
      <c r="Z228" s="0" t="s">
        <v>49</v>
      </c>
      <c r="AA228" s="0" t="s">
        <v>171</v>
      </c>
      <c r="AB228" s="0" t="s">
        <v>46</v>
      </c>
      <c r="AC228" s="0" t="s">
        <v>51</v>
      </c>
      <c r="AD228" s="0" t="s">
        <v>52</v>
      </c>
      <c r="AE228" s="0" t="s">
        <v>1366</v>
      </c>
      <c r="AF228" s="0" t="s">
        <v>1367</v>
      </c>
      <c r="AG228" s="0" t="s">
        <v>46</v>
      </c>
      <c r="AH228" s="0" t="s">
        <v>46</v>
      </c>
      <c r="AI228" s="0" t="s">
        <v>46</v>
      </c>
      <c r="AJ228" s="0" t="s">
        <v>46</v>
      </c>
      <c r="AK228" s="0" t="s">
        <v>46</v>
      </c>
      <c r="AL228" s="0" t="s">
        <v>46</v>
      </c>
    </row>
    <row r="229" customFormat="false" ht="15" hidden="false" customHeight="false" outlineLevel="0" collapsed="false">
      <c r="B229" s="0" t="str">
        <f aca="false">HYPERLINK("https://genome.ucsc.edu/cgi-bin/hgTracks?db=hg19&amp;position=chr19%3A8999409%2D8999409", "chr19:8999409")</f>
        <v>chr19:8999409</v>
      </c>
      <c r="C229" s="0" t="s">
        <v>1348</v>
      </c>
      <c r="D229" s="0" t="n">
        <v>8999409</v>
      </c>
      <c r="E229" s="0" t="n">
        <v>8999409</v>
      </c>
      <c r="F229" s="0" t="s">
        <v>40</v>
      </c>
      <c r="G229" s="0" t="s">
        <v>39</v>
      </c>
      <c r="H229" s="0" t="s">
        <v>1368</v>
      </c>
      <c r="I229" s="0" t="s">
        <v>1369</v>
      </c>
      <c r="J229" s="0" t="s">
        <v>1370</v>
      </c>
      <c r="K229" s="0" t="s">
        <v>46</v>
      </c>
      <c r="L229" s="0" t="str">
        <f aca="false">HYPERLINK("https://www.ncbi.nlm.nih.gov/snp/rs796460354", "rs796460354")</f>
        <v>rs796460354</v>
      </c>
      <c r="M229" s="0" t="str">
        <f aca="false">HYPERLINK("https://www.genecards.org/Search/Keyword?queryString=%5Baliases%5D(%20MUC16%20)&amp;keywords=MUC16", "MUC16")</f>
        <v>MUC16</v>
      </c>
      <c r="N229" s="0" t="s">
        <v>98</v>
      </c>
      <c r="O229" s="0" t="s">
        <v>99</v>
      </c>
      <c r="P229" s="0" t="s">
        <v>1371</v>
      </c>
      <c r="Q229" s="0" t="n">
        <v>0.0267</v>
      </c>
      <c r="R229" s="0" t="n">
        <v>0.0025</v>
      </c>
      <c r="S229" s="0" t="n">
        <v>0.0024</v>
      </c>
      <c r="T229" s="0" t="n">
        <v>-1</v>
      </c>
      <c r="U229" s="0" t="n">
        <v>0.0045</v>
      </c>
      <c r="V229" s="0" t="s">
        <v>158</v>
      </c>
      <c r="W229" s="0" t="s">
        <v>46</v>
      </c>
      <c r="X229" s="0" t="s">
        <v>46</v>
      </c>
      <c r="Y229" s="0" t="s">
        <v>46</v>
      </c>
      <c r="Z229" s="0" t="s">
        <v>49</v>
      </c>
      <c r="AA229" s="0" t="s">
        <v>171</v>
      </c>
      <c r="AB229" s="0" t="s">
        <v>46</v>
      </c>
      <c r="AC229" s="0" t="s">
        <v>51</v>
      </c>
      <c r="AD229" s="0" t="s">
        <v>856</v>
      </c>
      <c r="AE229" s="0" t="s">
        <v>46</v>
      </c>
      <c r="AF229" s="0" t="s">
        <v>1372</v>
      </c>
      <c r="AG229" s="0" t="s">
        <v>1373</v>
      </c>
      <c r="AH229" s="0" t="s">
        <v>46</v>
      </c>
      <c r="AI229" s="0" t="s">
        <v>46</v>
      </c>
      <c r="AJ229" s="0" t="s">
        <v>46</v>
      </c>
      <c r="AK229" s="0" t="s">
        <v>46</v>
      </c>
      <c r="AL229" s="0" t="s">
        <v>46</v>
      </c>
    </row>
    <row r="230" customFormat="false" ht="15" hidden="false" customHeight="false" outlineLevel="0" collapsed="false">
      <c r="B230" s="0" t="str">
        <f aca="false">HYPERLINK("https://genome.ucsc.edu/cgi-bin/hgTracks?db=hg19&amp;position=chr19%3A12790514%2D12790514", "chr19:12790514")</f>
        <v>chr19:12790514</v>
      </c>
      <c r="C230" s="0" t="s">
        <v>1348</v>
      </c>
      <c r="D230" s="0" t="n">
        <v>12790514</v>
      </c>
      <c r="E230" s="0" t="n">
        <v>12790514</v>
      </c>
      <c r="F230" s="0" t="s">
        <v>69</v>
      </c>
      <c r="G230" s="0" t="s">
        <v>40</v>
      </c>
      <c r="H230" s="0" t="s">
        <v>1374</v>
      </c>
      <c r="I230" s="0" t="s">
        <v>764</v>
      </c>
      <c r="J230" s="0" t="s">
        <v>1375</v>
      </c>
      <c r="K230" s="0" t="s">
        <v>46</v>
      </c>
      <c r="L230" s="0" t="s">
        <v>46</v>
      </c>
      <c r="M230" s="0" t="str">
        <f aca="false">HYPERLINK("https://www.genecards.org/Search/Keyword?queryString=%5Baliases%5D(%20DHPS%20)&amp;keywords=DHPS", "DHPS")</f>
        <v>DHPS</v>
      </c>
      <c r="N230" s="0" t="s">
        <v>98</v>
      </c>
      <c r="O230" s="0" t="s">
        <v>99</v>
      </c>
      <c r="P230" s="0" t="s">
        <v>1376</v>
      </c>
      <c r="Q230" s="0" t="n">
        <v>-1</v>
      </c>
      <c r="R230" s="0" t="n">
        <v>-1</v>
      </c>
      <c r="S230" s="0" t="n">
        <v>-1</v>
      </c>
      <c r="T230" s="0" t="n">
        <v>-1</v>
      </c>
      <c r="U230" s="0" t="n">
        <v>-1</v>
      </c>
      <c r="V230" s="0" t="s">
        <v>101</v>
      </c>
      <c r="W230" s="0" t="s">
        <v>46</v>
      </c>
      <c r="X230" s="0" t="s">
        <v>46</v>
      </c>
      <c r="Y230" s="0" t="s">
        <v>46</v>
      </c>
      <c r="Z230" s="0" t="s">
        <v>240</v>
      </c>
      <c r="AA230" s="0" t="s">
        <v>171</v>
      </c>
      <c r="AB230" s="0" t="s">
        <v>46</v>
      </c>
      <c r="AC230" s="0" t="s">
        <v>51</v>
      </c>
      <c r="AD230" s="0" t="s">
        <v>52</v>
      </c>
      <c r="AE230" s="0" t="s">
        <v>1377</v>
      </c>
      <c r="AF230" s="0" t="s">
        <v>1378</v>
      </c>
      <c r="AG230" s="0" t="s">
        <v>1379</v>
      </c>
      <c r="AH230" s="0" t="s">
        <v>46</v>
      </c>
      <c r="AI230" s="0" t="s">
        <v>46</v>
      </c>
      <c r="AJ230" s="0" t="s">
        <v>46</v>
      </c>
      <c r="AK230" s="0" t="s">
        <v>46</v>
      </c>
      <c r="AL230" s="0" t="s">
        <v>46</v>
      </c>
    </row>
    <row r="231" customFormat="false" ht="15" hidden="false" customHeight="false" outlineLevel="0" collapsed="false">
      <c r="B231" s="0" t="str">
        <f aca="false">HYPERLINK("https://genome.ucsc.edu/cgi-bin/hgTracks?db=hg19&amp;position=chr19%3A14584885%2D14584885", "chr19:14584885")</f>
        <v>chr19:14584885</v>
      </c>
      <c r="C231" s="0" t="s">
        <v>1348</v>
      </c>
      <c r="D231" s="0" t="n">
        <v>14584885</v>
      </c>
      <c r="E231" s="0" t="n">
        <v>14584885</v>
      </c>
      <c r="F231" s="0" t="s">
        <v>69</v>
      </c>
      <c r="G231" s="0" t="s">
        <v>40</v>
      </c>
      <c r="H231" s="0" t="s">
        <v>1380</v>
      </c>
      <c r="I231" s="0" t="s">
        <v>1072</v>
      </c>
      <c r="J231" s="0" t="s">
        <v>1381</v>
      </c>
      <c r="K231" s="0" t="s">
        <v>46</v>
      </c>
      <c r="L231" s="0" t="str">
        <f aca="false">HYPERLINK("https://www.ncbi.nlm.nih.gov/snp/rs201044848", "rs201044848")</f>
        <v>rs201044848</v>
      </c>
      <c r="M231" s="0" t="str">
        <f aca="false">HYPERLINK("https://www.genecards.org/Search/Keyword?queryString=%5Baliases%5D(%20PTGER1%20)&amp;keywords=PTGER1", "PTGER1")</f>
        <v>PTGER1</v>
      </c>
      <c r="N231" s="0" t="s">
        <v>98</v>
      </c>
      <c r="O231" s="0" t="s">
        <v>99</v>
      </c>
      <c r="P231" s="0" t="s">
        <v>1382</v>
      </c>
      <c r="Q231" s="0" t="n">
        <v>0.013793</v>
      </c>
      <c r="R231" s="0" t="n">
        <v>0.0021</v>
      </c>
      <c r="S231" s="0" t="n">
        <v>0.0032</v>
      </c>
      <c r="T231" s="0" t="n">
        <v>-1</v>
      </c>
      <c r="U231" s="0" t="n">
        <v>0.0011</v>
      </c>
      <c r="V231" s="0" t="s">
        <v>230</v>
      </c>
      <c r="W231" s="0" t="s">
        <v>46</v>
      </c>
      <c r="X231" s="0" t="s">
        <v>46</v>
      </c>
      <c r="Y231" s="0" t="s">
        <v>46</v>
      </c>
      <c r="Z231" s="0" t="s">
        <v>138</v>
      </c>
      <c r="AA231" s="0" t="s">
        <v>171</v>
      </c>
      <c r="AB231" s="0" t="s">
        <v>46</v>
      </c>
      <c r="AC231" s="0" t="s">
        <v>51</v>
      </c>
      <c r="AD231" s="0" t="s">
        <v>52</v>
      </c>
      <c r="AE231" s="0" t="s">
        <v>1383</v>
      </c>
      <c r="AF231" s="0" t="s">
        <v>1384</v>
      </c>
      <c r="AG231" s="0" t="s">
        <v>1385</v>
      </c>
      <c r="AH231" s="0" t="s">
        <v>46</v>
      </c>
      <c r="AI231" s="0" t="s">
        <v>46</v>
      </c>
      <c r="AJ231" s="0" t="s">
        <v>46</v>
      </c>
      <c r="AK231" s="0" t="s">
        <v>46</v>
      </c>
      <c r="AL231" s="0" t="s">
        <v>46</v>
      </c>
    </row>
    <row r="232" customFormat="false" ht="15" hidden="false" customHeight="false" outlineLevel="0" collapsed="false">
      <c r="B232" s="0" t="str">
        <f aca="false">HYPERLINK("https://genome.ucsc.edu/cgi-bin/hgTracks?db=hg19&amp;position=chr19%3A37642889%2D37642889", "chr19:37642889")</f>
        <v>chr19:37642889</v>
      </c>
      <c r="C232" s="0" t="s">
        <v>1348</v>
      </c>
      <c r="D232" s="0" t="n">
        <v>37642889</v>
      </c>
      <c r="E232" s="0" t="n">
        <v>37642889</v>
      </c>
      <c r="F232" s="0" t="s">
        <v>39</v>
      </c>
      <c r="G232" s="0" t="s">
        <v>40</v>
      </c>
      <c r="H232" s="0" t="s">
        <v>1386</v>
      </c>
      <c r="I232" s="0" t="s">
        <v>752</v>
      </c>
      <c r="J232" s="0" t="s">
        <v>1387</v>
      </c>
      <c r="K232" s="0" t="s">
        <v>46</v>
      </c>
      <c r="L232" s="0" t="str">
        <f aca="false">HYPERLINK("https://www.ncbi.nlm.nih.gov/snp/rs750251855", "rs750251855")</f>
        <v>rs750251855</v>
      </c>
      <c r="M232" s="0" t="str">
        <f aca="false">HYPERLINK("https://www.genecards.org/Search/Keyword?queryString=%5Baliases%5D(%20ZNF585A%20)&amp;keywords=ZNF585A", "ZNF585A")</f>
        <v>ZNF585A</v>
      </c>
      <c r="N232" s="0" t="s">
        <v>98</v>
      </c>
      <c r="O232" s="0" t="s">
        <v>99</v>
      </c>
      <c r="P232" s="0" t="s">
        <v>1388</v>
      </c>
      <c r="Q232" s="0" t="n">
        <v>2.59E-005</v>
      </c>
      <c r="R232" s="0" t="n">
        <v>-1</v>
      </c>
      <c r="S232" s="0" t="n">
        <v>-1</v>
      </c>
      <c r="T232" s="0" t="n">
        <v>-1</v>
      </c>
      <c r="U232" s="0" t="n">
        <v>-1</v>
      </c>
      <c r="V232" s="0" t="s">
        <v>502</v>
      </c>
      <c r="W232" s="0" t="s">
        <v>46</v>
      </c>
      <c r="X232" s="0" t="s">
        <v>46</v>
      </c>
      <c r="Y232" s="0" t="s">
        <v>46</v>
      </c>
      <c r="Z232" s="0" t="s">
        <v>49</v>
      </c>
      <c r="AA232" s="0" t="s">
        <v>171</v>
      </c>
      <c r="AB232" s="0" t="s">
        <v>46</v>
      </c>
      <c r="AC232" s="0" t="s">
        <v>51</v>
      </c>
      <c r="AD232" s="0" t="s">
        <v>52</v>
      </c>
      <c r="AE232" s="0" t="s">
        <v>1389</v>
      </c>
      <c r="AF232" s="0" t="s">
        <v>1390</v>
      </c>
      <c r="AG232" s="0" t="s">
        <v>1391</v>
      </c>
      <c r="AH232" s="0" t="s">
        <v>46</v>
      </c>
      <c r="AI232" s="0" t="s">
        <v>46</v>
      </c>
      <c r="AJ232" s="0" t="s">
        <v>46</v>
      </c>
      <c r="AK232" s="0" t="s">
        <v>46</v>
      </c>
      <c r="AL232" s="0" t="s">
        <v>584</v>
      </c>
    </row>
    <row r="233" customFormat="false" ht="15" hidden="false" customHeight="false" outlineLevel="0" collapsed="false">
      <c r="B233" s="0" t="str">
        <f aca="false">HYPERLINK("https://genome.ucsc.edu/cgi-bin/hgTracks?db=hg19&amp;position=chr19%3A44252159%2D44252159", "chr19:44252159")</f>
        <v>chr19:44252159</v>
      </c>
      <c r="C233" s="0" t="s">
        <v>1348</v>
      </c>
      <c r="D233" s="0" t="n">
        <v>44252159</v>
      </c>
      <c r="E233" s="0" t="n">
        <v>44252159</v>
      </c>
      <c r="F233" s="0" t="s">
        <v>40</v>
      </c>
      <c r="G233" s="0" t="s">
        <v>39</v>
      </c>
      <c r="H233" s="0" t="s">
        <v>965</v>
      </c>
      <c r="I233" s="0" t="s">
        <v>320</v>
      </c>
      <c r="J233" s="0" t="s">
        <v>321</v>
      </c>
      <c r="K233" s="0" t="s">
        <v>46</v>
      </c>
      <c r="L233" s="0" t="str">
        <f aca="false">HYPERLINK("https://www.ncbi.nlm.nih.gov/snp/rs200972716", "rs200972716")</f>
        <v>rs200972716</v>
      </c>
      <c r="M233" s="0" t="str">
        <f aca="false">HYPERLINK("https://www.genecards.org/Search/Keyword?queryString=%5Baliases%5D(%20SMG9%20)&amp;keywords=SMG9", "SMG9")</f>
        <v>SMG9</v>
      </c>
      <c r="N233" s="0" t="s">
        <v>98</v>
      </c>
      <c r="O233" s="0" t="s">
        <v>99</v>
      </c>
      <c r="P233" s="0" t="s">
        <v>1392</v>
      </c>
      <c r="Q233" s="0" t="n">
        <v>0.0006</v>
      </c>
      <c r="R233" s="0" t="n">
        <v>0.0005</v>
      </c>
      <c r="S233" s="0" t="n">
        <v>0.0004</v>
      </c>
      <c r="T233" s="0" t="n">
        <v>-1</v>
      </c>
      <c r="U233" s="0" t="n">
        <v>0.0007</v>
      </c>
      <c r="V233" s="0" t="s">
        <v>1027</v>
      </c>
      <c r="W233" s="0" t="s">
        <v>46</v>
      </c>
      <c r="X233" s="0" t="s">
        <v>46</v>
      </c>
      <c r="Y233" s="0" t="s">
        <v>46</v>
      </c>
      <c r="Z233" s="0" t="s">
        <v>102</v>
      </c>
      <c r="AA233" s="0" t="s">
        <v>171</v>
      </c>
      <c r="AB233" s="0" t="s">
        <v>46</v>
      </c>
      <c r="AC233" s="0" t="s">
        <v>51</v>
      </c>
      <c r="AD233" s="0" t="s">
        <v>52</v>
      </c>
      <c r="AE233" s="0" t="s">
        <v>1393</v>
      </c>
      <c r="AF233" s="0" t="s">
        <v>1394</v>
      </c>
      <c r="AG233" s="0" t="s">
        <v>1395</v>
      </c>
      <c r="AH233" s="0" t="s">
        <v>46</v>
      </c>
      <c r="AI233" s="0" t="s">
        <v>46</v>
      </c>
      <c r="AJ233" s="0" t="s">
        <v>46</v>
      </c>
      <c r="AK233" s="0" t="s">
        <v>46</v>
      </c>
      <c r="AL233" s="0" t="s">
        <v>46</v>
      </c>
    </row>
    <row r="234" customFormat="false" ht="15" hidden="false" customHeight="false" outlineLevel="0" collapsed="false">
      <c r="B234" s="0" t="str">
        <f aca="false">HYPERLINK("https://genome.ucsc.edu/cgi-bin/hgTracks?db=hg19&amp;position=chr19%3A44280715%2D44280715", "chr19:44280715")</f>
        <v>chr19:44280715</v>
      </c>
      <c r="C234" s="0" t="s">
        <v>1348</v>
      </c>
      <c r="D234" s="0" t="n">
        <v>44280715</v>
      </c>
      <c r="E234" s="0" t="n">
        <v>44280715</v>
      </c>
      <c r="F234" s="0" t="s">
        <v>69</v>
      </c>
      <c r="G234" s="0" t="s">
        <v>57</v>
      </c>
      <c r="H234" s="0" t="s">
        <v>930</v>
      </c>
      <c r="I234" s="0" t="s">
        <v>1032</v>
      </c>
      <c r="J234" s="0" t="s">
        <v>1396</v>
      </c>
      <c r="K234" s="0" t="s">
        <v>46</v>
      </c>
      <c r="L234" s="0" t="str">
        <f aca="false">HYPERLINK("https://www.ncbi.nlm.nih.gov/snp/rs201694270", "rs201694270")</f>
        <v>rs201694270</v>
      </c>
      <c r="M234" s="0" t="str">
        <f aca="false">HYPERLINK("https://www.genecards.org/Search/Keyword?queryString=%5Baliases%5D(%20KCNN4%20)&amp;keywords=KCNN4", "KCNN4")</f>
        <v>KCNN4</v>
      </c>
      <c r="N234" s="0" t="s">
        <v>98</v>
      </c>
      <c r="O234" s="0" t="s">
        <v>99</v>
      </c>
      <c r="P234" s="0" t="s">
        <v>1397</v>
      </c>
      <c r="Q234" s="0" t="n">
        <v>0.0012</v>
      </c>
      <c r="R234" s="0" t="n">
        <v>0.0012</v>
      </c>
      <c r="S234" s="0" t="n">
        <v>0.0018</v>
      </c>
      <c r="T234" s="0" t="n">
        <v>-1</v>
      </c>
      <c r="U234" s="0" t="n">
        <v>0.0041</v>
      </c>
      <c r="V234" s="0" t="s">
        <v>257</v>
      </c>
      <c r="W234" s="0" t="s">
        <v>46</v>
      </c>
      <c r="X234" s="0" t="s">
        <v>46</v>
      </c>
      <c r="Y234" s="0" t="s">
        <v>46</v>
      </c>
      <c r="Z234" s="0" t="s">
        <v>138</v>
      </c>
      <c r="AA234" s="0" t="s">
        <v>171</v>
      </c>
      <c r="AB234" s="0" t="s">
        <v>46</v>
      </c>
      <c r="AC234" s="0" t="s">
        <v>51</v>
      </c>
      <c r="AD234" s="0" t="s">
        <v>52</v>
      </c>
      <c r="AE234" s="0" t="s">
        <v>1398</v>
      </c>
      <c r="AF234" s="0" t="s">
        <v>1399</v>
      </c>
      <c r="AG234" s="0" t="s">
        <v>1400</v>
      </c>
      <c r="AH234" s="0" t="s">
        <v>1401</v>
      </c>
      <c r="AI234" s="0" t="s">
        <v>46</v>
      </c>
      <c r="AJ234" s="0" t="s">
        <v>46</v>
      </c>
      <c r="AK234" s="0" t="s">
        <v>46</v>
      </c>
      <c r="AL234" s="0" t="s">
        <v>46</v>
      </c>
    </row>
    <row r="235" customFormat="false" ht="15" hidden="false" customHeight="false" outlineLevel="0" collapsed="false">
      <c r="B235" s="0" t="str">
        <f aca="false">HYPERLINK("https://genome.ucsc.edu/cgi-bin/hgTracks?db=hg19&amp;position=chr19%3A45912718%2D45912718", "chr19:45912718")</f>
        <v>chr19:45912718</v>
      </c>
      <c r="C235" s="0" t="s">
        <v>1348</v>
      </c>
      <c r="D235" s="0" t="n">
        <v>45912718</v>
      </c>
      <c r="E235" s="0" t="n">
        <v>45912718</v>
      </c>
      <c r="F235" s="0" t="s">
        <v>39</v>
      </c>
      <c r="G235" s="0" t="s">
        <v>40</v>
      </c>
      <c r="H235" s="0" t="s">
        <v>1402</v>
      </c>
      <c r="I235" s="0" t="s">
        <v>166</v>
      </c>
      <c r="J235" s="0" t="s">
        <v>749</v>
      </c>
      <c r="K235" s="0" t="s">
        <v>46</v>
      </c>
      <c r="L235" s="0" t="str">
        <f aca="false">HYPERLINK("https://www.ncbi.nlm.nih.gov/snp/rs777786624", "rs777786624")</f>
        <v>rs777786624</v>
      </c>
      <c r="M235" s="0" t="str">
        <f aca="false">HYPERLINK("https://www.genecards.org/Search/Keyword?queryString=%5Baliases%5D(%20CD3EAP%20)%20OR%20%5Baliases%5D(%20POLR1G%20)&amp;keywords=CD3EAP,POLR1G", "CD3EAP;POLR1G")</f>
        <v>CD3EAP;POLR1G</v>
      </c>
      <c r="N235" s="0" t="s">
        <v>98</v>
      </c>
      <c r="O235" s="0" t="s">
        <v>99</v>
      </c>
      <c r="P235" s="0" t="s">
        <v>1403</v>
      </c>
      <c r="Q235" s="0" t="n">
        <v>7.185E-005</v>
      </c>
      <c r="R235" s="0" t="n">
        <v>9.025E-005</v>
      </c>
      <c r="S235" s="0" t="n">
        <v>7.348E-005</v>
      </c>
      <c r="T235" s="0" t="n">
        <v>-1</v>
      </c>
      <c r="U235" s="0" t="n">
        <v>0.0002</v>
      </c>
      <c r="V235" s="0" t="s">
        <v>215</v>
      </c>
      <c r="W235" s="0" t="s">
        <v>46</v>
      </c>
      <c r="X235" s="0" t="s">
        <v>46</v>
      </c>
      <c r="Y235" s="0" t="s">
        <v>46</v>
      </c>
      <c r="Z235" s="0" t="s">
        <v>49</v>
      </c>
      <c r="AA235" s="0" t="s">
        <v>171</v>
      </c>
      <c r="AB235" s="0" t="s">
        <v>46</v>
      </c>
      <c r="AC235" s="0" t="s">
        <v>51</v>
      </c>
      <c r="AD235" s="0" t="s">
        <v>437</v>
      </c>
      <c r="AE235" s="0" t="s">
        <v>1404</v>
      </c>
      <c r="AF235" s="0" t="s">
        <v>1405</v>
      </c>
      <c r="AG235" s="0" t="s">
        <v>1406</v>
      </c>
      <c r="AH235" s="0" t="s">
        <v>46</v>
      </c>
      <c r="AI235" s="0" t="s">
        <v>46</v>
      </c>
      <c r="AJ235" s="0" t="s">
        <v>46</v>
      </c>
      <c r="AK235" s="0" t="s">
        <v>46</v>
      </c>
      <c r="AL235" s="0" t="s">
        <v>46</v>
      </c>
    </row>
    <row r="236" customFormat="false" ht="15" hidden="false" customHeight="false" outlineLevel="0" collapsed="false">
      <c r="B236" s="0" t="str">
        <f aca="false">HYPERLINK("https://genome.ucsc.edu/cgi-bin/hgTracks?db=hg19&amp;position=chr19%3A51169488%2D51169488", "chr19:51169488")</f>
        <v>chr19:51169488</v>
      </c>
      <c r="C236" s="0" t="s">
        <v>1348</v>
      </c>
      <c r="D236" s="0" t="n">
        <v>51169488</v>
      </c>
      <c r="E236" s="0" t="n">
        <v>51169488</v>
      </c>
      <c r="F236" s="0" t="s">
        <v>39</v>
      </c>
      <c r="G236" s="0" t="s">
        <v>40</v>
      </c>
      <c r="H236" s="0" t="s">
        <v>1407</v>
      </c>
      <c r="I236" s="0" t="s">
        <v>379</v>
      </c>
      <c r="J236" s="0" t="s">
        <v>380</v>
      </c>
      <c r="K236" s="0" t="s">
        <v>46</v>
      </c>
      <c r="L236" s="0" t="str">
        <f aca="false">HYPERLINK("https://www.ncbi.nlm.nih.gov/snp/rs192533917", "rs192533917")</f>
        <v>rs192533917</v>
      </c>
      <c r="M236" s="0" t="str">
        <f aca="false">HYPERLINK("https://www.genecards.org/Search/Keyword?queryString=%5Baliases%5D(%20SHANK1%20)&amp;keywords=SHANK1", "SHANK1")</f>
        <v>SHANK1</v>
      </c>
      <c r="N236" s="0" t="s">
        <v>98</v>
      </c>
      <c r="O236" s="0" t="s">
        <v>99</v>
      </c>
      <c r="P236" s="0" t="s">
        <v>1408</v>
      </c>
      <c r="Q236" s="0" t="n">
        <v>0.0066</v>
      </c>
      <c r="R236" s="0" t="n">
        <v>0.0007</v>
      </c>
      <c r="S236" s="0" t="n">
        <v>0.0007</v>
      </c>
      <c r="T236" s="0" t="n">
        <v>-1</v>
      </c>
      <c r="U236" s="0" t="n">
        <v>0.0015</v>
      </c>
      <c r="V236" s="0" t="s">
        <v>1027</v>
      </c>
      <c r="W236" s="0" t="s">
        <v>46</v>
      </c>
      <c r="X236" s="0" t="s">
        <v>46</v>
      </c>
      <c r="Y236" s="0" t="s">
        <v>46</v>
      </c>
      <c r="Z236" s="0" t="s">
        <v>49</v>
      </c>
      <c r="AA236" s="0" t="s">
        <v>171</v>
      </c>
      <c r="AB236" s="0" t="s">
        <v>46</v>
      </c>
      <c r="AC236" s="0" t="s">
        <v>51</v>
      </c>
      <c r="AD236" s="0" t="s">
        <v>52</v>
      </c>
      <c r="AE236" s="0" t="s">
        <v>1409</v>
      </c>
      <c r="AF236" s="0" t="s">
        <v>1410</v>
      </c>
      <c r="AG236" s="0" t="s">
        <v>1411</v>
      </c>
      <c r="AH236" s="0" t="s">
        <v>46</v>
      </c>
      <c r="AI236" s="0" t="s">
        <v>46</v>
      </c>
      <c r="AJ236" s="0" t="s">
        <v>46</v>
      </c>
      <c r="AK236" s="0" t="s">
        <v>46</v>
      </c>
      <c r="AL236" s="0" t="s">
        <v>46</v>
      </c>
    </row>
    <row r="237" customFormat="false" ht="15" hidden="false" customHeight="false" outlineLevel="0" collapsed="false">
      <c r="B237" s="0" t="str">
        <f aca="false">HYPERLINK("https://genome.ucsc.edu/cgi-bin/hgTracks?db=hg19&amp;position=chr19%3A55687114%2D55687114", "chr19:55687114")</f>
        <v>chr19:55687114</v>
      </c>
      <c r="C237" s="0" t="s">
        <v>1348</v>
      </c>
      <c r="D237" s="0" t="n">
        <v>55687114</v>
      </c>
      <c r="E237" s="0" t="n">
        <v>55687114</v>
      </c>
      <c r="F237" s="0" t="s">
        <v>69</v>
      </c>
      <c r="G237" s="0" t="s">
        <v>57</v>
      </c>
      <c r="H237" s="0" t="s">
        <v>1412</v>
      </c>
      <c r="I237" s="0" t="s">
        <v>122</v>
      </c>
      <c r="J237" s="0" t="s">
        <v>1413</v>
      </c>
      <c r="K237" s="0" t="s">
        <v>46</v>
      </c>
      <c r="L237" s="0" t="s">
        <v>46</v>
      </c>
      <c r="M237" s="0" t="str">
        <f aca="false">HYPERLINK("https://www.genecards.org/Search/Keyword?queryString=%5Baliases%5D(%20SYT5%20)&amp;keywords=SYT5", "SYT5")</f>
        <v>SYT5</v>
      </c>
      <c r="N237" s="0" t="s">
        <v>98</v>
      </c>
      <c r="O237" s="0" t="s">
        <v>99</v>
      </c>
      <c r="P237" s="0" t="s">
        <v>1414</v>
      </c>
      <c r="Q237" s="0" t="n">
        <v>7.191E-005</v>
      </c>
      <c r="R237" s="0" t="n">
        <v>9.033E-005</v>
      </c>
      <c r="S237" s="0" t="n">
        <v>7.354E-005</v>
      </c>
      <c r="T237" s="0" t="n">
        <v>-1</v>
      </c>
      <c r="U237" s="0" t="n">
        <v>0.0002</v>
      </c>
      <c r="V237" s="0" t="s">
        <v>608</v>
      </c>
      <c r="W237" s="0" t="s">
        <v>46</v>
      </c>
      <c r="X237" s="0" t="s">
        <v>46</v>
      </c>
      <c r="Y237" s="0" t="s">
        <v>46</v>
      </c>
      <c r="Z237" s="0" t="s">
        <v>231</v>
      </c>
      <c r="AA237" s="0" t="s">
        <v>171</v>
      </c>
      <c r="AB237" s="0" t="s">
        <v>46</v>
      </c>
      <c r="AC237" s="0" t="s">
        <v>51</v>
      </c>
      <c r="AD237" s="0" t="s">
        <v>52</v>
      </c>
      <c r="AE237" s="0" t="s">
        <v>1415</v>
      </c>
      <c r="AF237" s="0" t="s">
        <v>1416</v>
      </c>
      <c r="AG237" s="0" t="s">
        <v>1417</v>
      </c>
      <c r="AH237" s="0" t="s">
        <v>46</v>
      </c>
      <c r="AI237" s="0" t="s">
        <v>46</v>
      </c>
      <c r="AJ237" s="0" t="s">
        <v>46</v>
      </c>
      <c r="AK237" s="0" t="s">
        <v>46</v>
      </c>
      <c r="AL237" s="0" t="s">
        <v>46</v>
      </c>
    </row>
    <row r="238" customFormat="false" ht="15" hidden="false" customHeight="false" outlineLevel="0" collapsed="false">
      <c r="B238" s="0" t="str">
        <f aca="false">HYPERLINK("https://genome.ucsc.edu/cgi-bin/hgTracks?db=hg19&amp;position=chr19%3A55865329%2D55865329", "chr19:55865329")</f>
        <v>chr19:55865329</v>
      </c>
      <c r="C238" s="0" t="s">
        <v>1348</v>
      </c>
      <c r="D238" s="0" t="n">
        <v>55865329</v>
      </c>
      <c r="E238" s="0" t="n">
        <v>55865329</v>
      </c>
      <c r="F238" s="0" t="s">
        <v>69</v>
      </c>
      <c r="G238" s="0" t="s">
        <v>57</v>
      </c>
      <c r="H238" s="0" t="s">
        <v>1418</v>
      </c>
      <c r="I238" s="0" t="s">
        <v>133</v>
      </c>
      <c r="J238" s="0" t="s">
        <v>1419</v>
      </c>
      <c r="K238" s="0" t="s">
        <v>46</v>
      </c>
      <c r="L238" s="0" t="str">
        <f aca="false">HYPERLINK("https://www.ncbi.nlm.nih.gov/snp/rs199757828", "rs199757828")</f>
        <v>rs199757828</v>
      </c>
      <c r="M238" s="0" t="str">
        <f aca="false">HYPERLINK("https://www.genecards.org/Search/Keyword?queryString=%5Baliases%5D(%20COX6B2%20)&amp;keywords=COX6B2", "COX6B2")</f>
        <v>COX6B2</v>
      </c>
      <c r="N238" s="0" t="s">
        <v>98</v>
      </c>
      <c r="O238" s="0" t="s">
        <v>99</v>
      </c>
      <c r="P238" s="0" t="s">
        <v>1420</v>
      </c>
      <c r="Q238" s="0" t="n">
        <v>0.012</v>
      </c>
      <c r="R238" s="0" t="n">
        <v>0.0028</v>
      </c>
      <c r="S238" s="0" t="n">
        <v>0.0029</v>
      </c>
      <c r="T238" s="0" t="n">
        <v>-1</v>
      </c>
      <c r="U238" s="0" t="n">
        <v>0.0041</v>
      </c>
      <c r="V238" s="0" t="s">
        <v>1421</v>
      </c>
      <c r="W238" s="0" t="s">
        <v>46</v>
      </c>
      <c r="X238" s="0" t="s">
        <v>46</v>
      </c>
      <c r="Y238" s="0" t="s">
        <v>46</v>
      </c>
      <c r="Z238" s="0" t="s">
        <v>49</v>
      </c>
      <c r="AA238" s="0" t="s">
        <v>171</v>
      </c>
      <c r="AB238" s="0" t="s">
        <v>46</v>
      </c>
      <c r="AC238" s="0" t="s">
        <v>51</v>
      </c>
      <c r="AD238" s="0" t="s">
        <v>52</v>
      </c>
      <c r="AE238" s="0" t="s">
        <v>1422</v>
      </c>
      <c r="AF238" s="0" t="s">
        <v>1423</v>
      </c>
      <c r="AG238" s="0" t="s">
        <v>1424</v>
      </c>
      <c r="AH238" s="0" t="s">
        <v>46</v>
      </c>
      <c r="AI238" s="0" t="s">
        <v>46</v>
      </c>
      <c r="AJ238" s="0" t="s">
        <v>46</v>
      </c>
      <c r="AK238" s="0" t="s">
        <v>46</v>
      </c>
      <c r="AL238" s="0" t="s">
        <v>46</v>
      </c>
    </row>
    <row r="239" customFormat="false" ht="15" hidden="false" customHeight="false" outlineLevel="0" collapsed="false">
      <c r="B239" s="0" t="str">
        <f aca="false">HYPERLINK("https://genome.ucsc.edu/cgi-bin/hgTracks?db=hg19&amp;position=chr2%3A10050966%2D10050966", "chr2:10050966")</f>
        <v>chr2:10050966</v>
      </c>
      <c r="C239" s="0" t="s">
        <v>93</v>
      </c>
      <c r="D239" s="0" t="n">
        <v>10050966</v>
      </c>
      <c r="E239" s="0" t="n">
        <v>10050966</v>
      </c>
      <c r="F239" s="0" t="s">
        <v>57</v>
      </c>
      <c r="G239" s="0" t="s">
        <v>40</v>
      </c>
      <c r="H239" s="0" t="s">
        <v>1425</v>
      </c>
      <c r="I239" s="0" t="s">
        <v>421</v>
      </c>
      <c r="J239" s="0" t="s">
        <v>861</v>
      </c>
      <c r="K239" s="0" t="s">
        <v>46</v>
      </c>
      <c r="L239" s="0" t="s">
        <v>46</v>
      </c>
      <c r="M239" s="0" t="str">
        <f aca="false">HYPERLINK("https://www.genecards.org/Search/Keyword?queryString=%5Baliases%5D(%20TAF1B%20)&amp;keywords=TAF1B", "TAF1B")</f>
        <v>TAF1B</v>
      </c>
      <c r="N239" s="0" t="s">
        <v>98</v>
      </c>
      <c r="O239" s="0" t="s">
        <v>371</v>
      </c>
      <c r="P239" s="0" t="s">
        <v>1426</v>
      </c>
      <c r="Q239" s="0" t="n">
        <v>-1</v>
      </c>
      <c r="R239" s="0" t="n">
        <v>-1</v>
      </c>
      <c r="S239" s="0" t="n">
        <v>-1</v>
      </c>
      <c r="T239" s="0" t="n">
        <v>-1</v>
      </c>
      <c r="U239" s="0" t="n">
        <v>-1</v>
      </c>
      <c r="V239" s="0" t="s">
        <v>1143</v>
      </c>
      <c r="W239" s="0" t="s">
        <v>46</v>
      </c>
      <c r="X239" s="0" t="s">
        <v>46</v>
      </c>
      <c r="Y239" s="0" t="s">
        <v>46</v>
      </c>
      <c r="Z239" s="0" t="s">
        <v>102</v>
      </c>
      <c r="AA239" s="0" t="s">
        <v>171</v>
      </c>
      <c r="AB239" s="0" t="s">
        <v>46</v>
      </c>
      <c r="AC239" s="0" t="s">
        <v>51</v>
      </c>
      <c r="AD239" s="0" t="s">
        <v>52</v>
      </c>
      <c r="AE239" s="0" t="s">
        <v>1427</v>
      </c>
      <c r="AF239" s="0" t="s">
        <v>1428</v>
      </c>
      <c r="AG239" s="0" t="s">
        <v>1429</v>
      </c>
      <c r="AH239" s="0" t="s">
        <v>46</v>
      </c>
      <c r="AI239" s="0" t="s">
        <v>46</v>
      </c>
      <c r="AJ239" s="0" t="s">
        <v>46</v>
      </c>
      <c r="AK239" s="0" t="s">
        <v>46</v>
      </c>
      <c r="AL239" s="0" t="s">
        <v>46</v>
      </c>
    </row>
    <row r="240" customFormat="false" ht="15" hidden="false" customHeight="false" outlineLevel="0" collapsed="false">
      <c r="B240" s="0" t="str">
        <f aca="false">HYPERLINK("https://genome.ucsc.edu/cgi-bin/hgTracks?db=hg19&amp;position=chr2%3A26534087%2D26534087", "chr2:26534087")</f>
        <v>chr2:26534087</v>
      </c>
      <c r="C240" s="0" t="s">
        <v>93</v>
      </c>
      <c r="D240" s="0" t="n">
        <v>26534087</v>
      </c>
      <c r="E240" s="0" t="n">
        <v>26534087</v>
      </c>
      <c r="F240" s="0" t="s">
        <v>69</v>
      </c>
      <c r="G240" s="0" t="s">
        <v>57</v>
      </c>
      <c r="H240" s="0" t="s">
        <v>1430</v>
      </c>
      <c r="I240" s="0" t="s">
        <v>1431</v>
      </c>
      <c r="J240" s="0" t="s">
        <v>1432</v>
      </c>
      <c r="K240" s="0" t="s">
        <v>46</v>
      </c>
      <c r="L240" s="0" t="str">
        <f aca="false">HYPERLINK("https://www.ncbi.nlm.nih.gov/snp/rs139522210", "rs139522210")</f>
        <v>rs139522210</v>
      </c>
      <c r="M240" s="0" t="str">
        <f aca="false">HYPERLINK("https://www.genecards.org/Search/Keyword?queryString=%5Baliases%5D(%20ADGRF3%20)%20OR%20%5Baliases%5D(%20GPR113%20)&amp;keywords=ADGRF3,GPR113", "ADGRF3;GPR113")</f>
        <v>ADGRF3;GPR113</v>
      </c>
      <c r="N240" s="0" t="s">
        <v>98</v>
      </c>
      <c r="O240" s="0" t="s">
        <v>371</v>
      </c>
      <c r="P240" s="0" t="s">
        <v>1433</v>
      </c>
      <c r="Q240" s="0" t="n">
        <v>0.007</v>
      </c>
      <c r="R240" s="0" t="n">
        <v>0.004</v>
      </c>
      <c r="S240" s="0" t="n">
        <v>0.0051</v>
      </c>
      <c r="T240" s="0" t="n">
        <v>-1</v>
      </c>
      <c r="U240" s="0" t="n">
        <v>0.0041</v>
      </c>
      <c r="V240" s="0" t="s">
        <v>207</v>
      </c>
      <c r="W240" s="0" t="s">
        <v>46</v>
      </c>
      <c r="X240" s="0" t="s">
        <v>46</v>
      </c>
      <c r="Y240" s="0" t="s">
        <v>46</v>
      </c>
      <c r="Z240" s="0" t="s">
        <v>49</v>
      </c>
      <c r="AA240" s="0" t="s">
        <v>171</v>
      </c>
      <c r="AB240" s="0" t="s">
        <v>46</v>
      </c>
      <c r="AC240" s="0" t="s">
        <v>51</v>
      </c>
      <c r="AD240" s="0" t="s">
        <v>437</v>
      </c>
      <c r="AE240" s="0" t="s">
        <v>46</v>
      </c>
      <c r="AF240" s="0" t="s">
        <v>1434</v>
      </c>
      <c r="AG240" s="0" t="s">
        <v>1435</v>
      </c>
      <c r="AH240" s="0" t="s">
        <v>46</v>
      </c>
      <c r="AI240" s="0" t="s">
        <v>46</v>
      </c>
      <c r="AJ240" s="0" t="s">
        <v>46</v>
      </c>
      <c r="AK240" s="0" t="s">
        <v>46</v>
      </c>
      <c r="AL240" s="0" t="s">
        <v>46</v>
      </c>
    </row>
    <row r="241" customFormat="false" ht="15" hidden="false" customHeight="false" outlineLevel="0" collapsed="false">
      <c r="B241" s="0" t="str">
        <f aca="false">HYPERLINK("https://genome.ucsc.edu/cgi-bin/hgTracks?db=hg19&amp;position=chr2%3A26798927%2D26798927", "chr2:26798927")</f>
        <v>chr2:26798927</v>
      </c>
      <c r="C241" s="0" t="s">
        <v>93</v>
      </c>
      <c r="D241" s="0" t="n">
        <v>26798927</v>
      </c>
      <c r="E241" s="0" t="n">
        <v>26798927</v>
      </c>
      <c r="F241" s="0" t="s">
        <v>39</v>
      </c>
      <c r="G241" s="0" t="s">
        <v>69</v>
      </c>
      <c r="H241" s="0" t="s">
        <v>1436</v>
      </c>
      <c r="I241" s="0" t="s">
        <v>1437</v>
      </c>
      <c r="J241" s="0" t="s">
        <v>1438</v>
      </c>
      <c r="K241" s="0" t="s">
        <v>46</v>
      </c>
      <c r="L241" s="0" t="str">
        <f aca="false">HYPERLINK("https://www.ncbi.nlm.nih.gov/snp/rs112873448", "rs112873448")</f>
        <v>rs112873448</v>
      </c>
      <c r="M241" s="0" t="str">
        <f aca="false">HYPERLINK("https://www.genecards.org/Search/Keyword?queryString=%5Baliases%5D(%20C2orf70%20)%20OR%20%5Baliases%5D(%20FAM166C%20)&amp;keywords=C2orf70,FAM166C", "C2orf70;FAM166C")</f>
        <v>C2orf70;FAM166C</v>
      </c>
      <c r="N241" s="0" t="s">
        <v>98</v>
      </c>
      <c r="O241" s="0" t="s">
        <v>99</v>
      </c>
      <c r="P241" s="0" t="s">
        <v>1439</v>
      </c>
      <c r="Q241" s="0" t="n">
        <v>0.0281</v>
      </c>
      <c r="R241" s="0" t="n">
        <v>0.0285</v>
      </c>
      <c r="S241" s="0" t="n">
        <v>0.028</v>
      </c>
      <c r="T241" s="0" t="n">
        <v>-1</v>
      </c>
      <c r="U241" s="0" t="n">
        <v>0.0296</v>
      </c>
      <c r="V241" s="0" t="s">
        <v>148</v>
      </c>
      <c r="W241" s="0" t="s">
        <v>46</v>
      </c>
      <c r="X241" s="0" t="s">
        <v>46</v>
      </c>
      <c r="Y241" s="0" t="s">
        <v>46</v>
      </c>
      <c r="Z241" s="0" t="s">
        <v>49</v>
      </c>
      <c r="AA241" s="0" t="s">
        <v>171</v>
      </c>
      <c r="AB241" s="0" t="s">
        <v>46</v>
      </c>
      <c r="AC241" s="0" t="s">
        <v>51</v>
      </c>
      <c r="AD241" s="0" t="s">
        <v>437</v>
      </c>
      <c r="AE241" s="0" t="s">
        <v>1440</v>
      </c>
      <c r="AF241" s="0" t="s">
        <v>1441</v>
      </c>
      <c r="AG241" s="0" t="s">
        <v>46</v>
      </c>
      <c r="AH241" s="0" t="s">
        <v>46</v>
      </c>
      <c r="AI241" s="0" t="s">
        <v>46</v>
      </c>
      <c r="AJ241" s="0" t="s">
        <v>46</v>
      </c>
      <c r="AK241" s="0" t="s">
        <v>46</v>
      </c>
      <c r="AL241" s="0" t="s">
        <v>46</v>
      </c>
    </row>
    <row r="242" customFormat="false" ht="15" hidden="false" customHeight="false" outlineLevel="0" collapsed="false">
      <c r="B242" s="0" t="str">
        <f aca="false">HYPERLINK("https://genome.ucsc.edu/cgi-bin/hgTracks?db=hg19&amp;position=chr2%3A32664660%2D32664660", "chr2:32664660")</f>
        <v>chr2:32664660</v>
      </c>
      <c r="C242" s="0" t="s">
        <v>93</v>
      </c>
      <c r="D242" s="0" t="n">
        <v>32664660</v>
      </c>
      <c r="E242" s="0" t="n">
        <v>32664660</v>
      </c>
      <c r="F242" s="0" t="s">
        <v>69</v>
      </c>
      <c r="G242" s="0" t="s">
        <v>40</v>
      </c>
      <c r="H242" s="0" t="s">
        <v>918</v>
      </c>
      <c r="I242" s="0" t="s">
        <v>111</v>
      </c>
      <c r="J242" s="0" t="s">
        <v>112</v>
      </c>
      <c r="K242" s="0" t="s">
        <v>46</v>
      </c>
      <c r="L242" s="0" t="str">
        <f aca="false">HYPERLINK("https://www.ncbi.nlm.nih.gov/snp/rs190360702", "rs190360702")</f>
        <v>rs190360702</v>
      </c>
      <c r="M242" s="0" t="str">
        <f aca="false">HYPERLINK("https://www.genecards.org/Search/Keyword?queryString=%5Baliases%5D(%20BIRC6%20)&amp;keywords=BIRC6", "BIRC6")</f>
        <v>BIRC6</v>
      </c>
      <c r="N242" s="0" t="s">
        <v>98</v>
      </c>
      <c r="O242" s="0" t="s">
        <v>99</v>
      </c>
      <c r="P242" s="0" t="s">
        <v>1442</v>
      </c>
      <c r="Q242" s="0" t="n">
        <v>0.0055</v>
      </c>
      <c r="R242" s="0" t="n">
        <v>0.0009</v>
      </c>
      <c r="S242" s="0" t="n">
        <v>0.0007</v>
      </c>
      <c r="T242" s="0" t="n">
        <v>-1</v>
      </c>
      <c r="U242" s="0" t="n">
        <v>0.0018</v>
      </c>
      <c r="V242" s="0" t="s">
        <v>170</v>
      </c>
      <c r="W242" s="0" t="s">
        <v>46</v>
      </c>
      <c r="X242" s="0" t="s">
        <v>46</v>
      </c>
      <c r="Y242" s="0" t="s">
        <v>46</v>
      </c>
      <c r="Z242" s="0" t="s">
        <v>183</v>
      </c>
      <c r="AA242" s="0" t="s">
        <v>171</v>
      </c>
      <c r="AB242" s="0" t="s">
        <v>46</v>
      </c>
      <c r="AC242" s="0" t="s">
        <v>51</v>
      </c>
      <c r="AD242" s="0" t="s">
        <v>856</v>
      </c>
      <c r="AE242" s="0" t="s">
        <v>1443</v>
      </c>
      <c r="AF242" s="0" t="s">
        <v>1444</v>
      </c>
      <c r="AG242" s="0" t="s">
        <v>1445</v>
      </c>
      <c r="AH242" s="0" t="s">
        <v>46</v>
      </c>
      <c r="AI242" s="0" t="s">
        <v>46</v>
      </c>
      <c r="AJ242" s="0" t="s">
        <v>46</v>
      </c>
      <c r="AK242" s="0" t="s">
        <v>46</v>
      </c>
      <c r="AL242" s="0" t="s">
        <v>46</v>
      </c>
    </row>
    <row r="243" customFormat="false" ht="15" hidden="false" customHeight="false" outlineLevel="0" collapsed="false">
      <c r="B243" s="0" t="str">
        <f aca="false">HYPERLINK("https://genome.ucsc.edu/cgi-bin/hgTracks?db=hg19&amp;position=chr2%3A54855379%2D54855379", "chr2:54855379")</f>
        <v>chr2:54855379</v>
      </c>
      <c r="C243" s="0" t="s">
        <v>93</v>
      </c>
      <c r="D243" s="0" t="n">
        <v>54855379</v>
      </c>
      <c r="E243" s="0" t="n">
        <v>54855379</v>
      </c>
      <c r="F243" s="0" t="s">
        <v>57</v>
      </c>
      <c r="G243" s="0" t="s">
        <v>69</v>
      </c>
      <c r="H243" s="0" t="s">
        <v>1272</v>
      </c>
      <c r="I243" s="0" t="s">
        <v>1114</v>
      </c>
      <c r="J243" s="0" t="s">
        <v>1115</v>
      </c>
      <c r="K243" s="0" t="s">
        <v>46</v>
      </c>
      <c r="L243" s="0" t="str">
        <f aca="false">HYPERLINK("https://www.ncbi.nlm.nih.gov/snp/rs776520290", "rs776520290")</f>
        <v>rs776520290</v>
      </c>
      <c r="M243" s="0" t="str">
        <f aca="false">HYPERLINK("https://www.genecards.org/Search/Keyword?queryString=%5Baliases%5D(%20SPTBN1%20)&amp;keywords=SPTBN1", "SPTBN1")</f>
        <v>SPTBN1</v>
      </c>
      <c r="N243" s="0" t="s">
        <v>98</v>
      </c>
      <c r="O243" s="0" t="s">
        <v>99</v>
      </c>
      <c r="P243" s="0" t="s">
        <v>1446</v>
      </c>
      <c r="Q243" s="0" t="n">
        <v>3.23E-005</v>
      </c>
      <c r="R243" s="0" t="n">
        <v>-1</v>
      </c>
      <c r="S243" s="0" t="n">
        <v>-1</v>
      </c>
      <c r="T243" s="0" t="n">
        <v>-1</v>
      </c>
      <c r="U243" s="0" t="n">
        <v>-1</v>
      </c>
      <c r="V243" s="0" t="s">
        <v>688</v>
      </c>
      <c r="W243" s="0" t="s">
        <v>46</v>
      </c>
      <c r="X243" s="0" t="s">
        <v>46</v>
      </c>
      <c r="Y243" s="0" t="s">
        <v>46</v>
      </c>
      <c r="Z243" s="0" t="s">
        <v>102</v>
      </c>
      <c r="AA243" s="0" t="s">
        <v>171</v>
      </c>
      <c r="AB243" s="0" t="s">
        <v>46</v>
      </c>
      <c r="AC243" s="0" t="s">
        <v>51</v>
      </c>
      <c r="AD243" s="0" t="s">
        <v>52</v>
      </c>
      <c r="AE243" s="0" t="s">
        <v>1447</v>
      </c>
      <c r="AF243" s="0" t="s">
        <v>1448</v>
      </c>
      <c r="AG243" s="0" t="s">
        <v>1449</v>
      </c>
      <c r="AH243" s="0" t="s">
        <v>46</v>
      </c>
      <c r="AI243" s="0" t="s">
        <v>46</v>
      </c>
      <c r="AJ243" s="0" t="s">
        <v>46</v>
      </c>
      <c r="AK243" s="0" t="s">
        <v>46</v>
      </c>
      <c r="AL243" s="0" t="s">
        <v>46</v>
      </c>
    </row>
    <row r="244" customFormat="false" ht="15" hidden="false" customHeight="false" outlineLevel="0" collapsed="false">
      <c r="B244" s="0" t="str">
        <f aca="false">HYPERLINK("https://genome.ucsc.edu/cgi-bin/hgTracks?db=hg19&amp;position=chr2%3A64160864%2D64160864", "chr2:64160864")</f>
        <v>chr2:64160864</v>
      </c>
      <c r="C244" s="0" t="s">
        <v>93</v>
      </c>
      <c r="D244" s="0" t="n">
        <v>64160864</v>
      </c>
      <c r="E244" s="0" t="n">
        <v>64160864</v>
      </c>
      <c r="F244" s="0" t="s">
        <v>69</v>
      </c>
      <c r="G244" s="0" t="s">
        <v>57</v>
      </c>
      <c r="H244" s="0" t="s">
        <v>818</v>
      </c>
      <c r="I244" s="0" t="s">
        <v>311</v>
      </c>
      <c r="J244" s="0" t="s">
        <v>1141</v>
      </c>
      <c r="K244" s="0" t="s">
        <v>46</v>
      </c>
      <c r="L244" s="0" t="s">
        <v>46</v>
      </c>
      <c r="M244" s="0" t="str">
        <f aca="false">HYPERLINK("https://www.genecards.org/Search/Keyword?queryString=%5Baliases%5D(%20VPS54%20)&amp;keywords=VPS54", "VPS54")</f>
        <v>VPS54</v>
      </c>
      <c r="N244" s="0" t="s">
        <v>98</v>
      </c>
      <c r="O244" s="0" t="s">
        <v>99</v>
      </c>
      <c r="P244" s="0" t="s">
        <v>1450</v>
      </c>
      <c r="Q244" s="0" t="n">
        <v>-1</v>
      </c>
      <c r="R244" s="0" t="n">
        <v>-1</v>
      </c>
      <c r="S244" s="0" t="n">
        <v>-1</v>
      </c>
      <c r="T244" s="0" t="n">
        <v>-1</v>
      </c>
      <c r="U244" s="0" t="n">
        <v>-1</v>
      </c>
      <c r="V244" s="0" t="s">
        <v>596</v>
      </c>
      <c r="W244" s="0" t="s">
        <v>46</v>
      </c>
      <c r="X244" s="0" t="s">
        <v>46</v>
      </c>
      <c r="Y244" s="0" t="s">
        <v>46</v>
      </c>
      <c r="Z244" s="0" t="s">
        <v>481</v>
      </c>
      <c r="AA244" s="0" t="s">
        <v>171</v>
      </c>
      <c r="AB244" s="0" t="s">
        <v>46</v>
      </c>
      <c r="AC244" s="0" t="s">
        <v>51</v>
      </c>
      <c r="AD244" s="0" t="s">
        <v>52</v>
      </c>
      <c r="AE244" s="0" t="s">
        <v>1451</v>
      </c>
      <c r="AF244" s="0" t="s">
        <v>1452</v>
      </c>
      <c r="AG244" s="0" t="s">
        <v>1453</v>
      </c>
      <c r="AH244" s="0" t="s">
        <v>46</v>
      </c>
      <c r="AI244" s="0" t="s">
        <v>46</v>
      </c>
      <c r="AJ244" s="0" t="s">
        <v>46</v>
      </c>
      <c r="AK244" s="0" t="s">
        <v>46</v>
      </c>
      <c r="AL244" s="0" t="s">
        <v>46</v>
      </c>
    </row>
    <row r="245" customFormat="false" ht="15" hidden="false" customHeight="false" outlineLevel="0" collapsed="false">
      <c r="B245" s="0" t="str">
        <f aca="false">HYPERLINK("https://genome.ucsc.edu/cgi-bin/hgTracks?db=hg19&amp;position=chr2%3A85276519%2D85276519", "chr2:85276519")</f>
        <v>chr2:85276519</v>
      </c>
      <c r="C245" s="0" t="s">
        <v>93</v>
      </c>
      <c r="D245" s="0" t="n">
        <v>85276519</v>
      </c>
      <c r="E245" s="0" t="n">
        <v>85276519</v>
      </c>
      <c r="F245" s="0" t="s">
        <v>69</v>
      </c>
      <c r="G245" s="0" t="s">
        <v>57</v>
      </c>
      <c r="H245" s="0" t="s">
        <v>1454</v>
      </c>
      <c r="I245" s="0" t="s">
        <v>281</v>
      </c>
      <c r="J245" s="0" t="s">
        <v>1455</v>
      </c>
      <c r="K245" s="0" t="s">
        <v>46</v>
      </c>
      <c r="L245" s="0" t="str">
        <f aca="false">HYPERLINK("https://www.ncbi.nlm.nih.gov/snp/rs778373979", "rs778373979")</f>
        <v>rs778373979</v>
      </c>
      <c r="M245" s="0" t="str">
        <f aca="false">HYPERLINK("https://www.genecards.org/Search/Keyword?queryString=%5Baliases%5D(%20KCMF1%20)&amp;keywords=KCMF1", "KCMF1")</f>
        <v>KCMF1</v>
      </c>
      <c r="N245" s="0" t="s">
        <v>98</v>
      </c>
      <c r="O245" s="0" t="s">
        <v>99</v>
      </c>
      <c r="P245" s="0" t="s">
        <v>1456</v>
      </c>
      <c r="Q245" s="0" t="n">
        <v>6.5E-006</v>
      </c>
      <c r="R245" s="0" t="n">
        <v>-1</v>
      </c>
      <c r="S245" s="0" t="n">
        <v>-1</v>
      </c>
      <c r="T245" s="0" t="n">
        <v>-1</v>
      </c>
      <c r="U245" s="0" t="n">
        <v>-1</v>
      </c>
      <c r="V245" s="0" t="s">
        <v>608</v>
      </c>
      <c r="W245" s="0" t="s">
        <v>46</v>
      </c>
      <c r="X245" s="0" t="s">
        <v>46</v>
      </c>
      <c r="Y245" s="0" t="s">
        <v>46</v>
      </c>
      <c r="Z245" s="0" t="s">
        <v>240</v>
      </c>
      <c r="AA245" s="0" t="s">
        <v>171</v>
      </c>
      <c r="AB245" s="0" t="s">
        <v>46</v>
      </c>
      <c r="AC245" s="0" t="s">
        <v>51</v>
      </c>
      <c r="AD245" s="0" t="s">
        <v>52</v>
      </c>
      <c r="AE245" s="0" t="s">
        <v>1457</v>
      </c>
      <c r="AF245" s="0" t="s">
        <v>1458</v>
      </c>
      <c r="AG245" s="0" t="s">
        <v>1459</v>
      </c>
      <c r="AH245" s="0" t="s">
        <v>46</v>
      </c>
      <c r="AI245" s="0" t="s">
        <v>46</v>
      </c>
      <c r="AJ245" s="0" t="s">
        <v>46</v>
      </c>
      <c r="AK245" s="0" t="s">
        <v>46</v>
      </c>
      <c r="AL245" s="0" t="s">
        <v>46</v>
      </c>
    </row>
    <row r="246" customFormat="false" ht="15" hidden="false" customHeight="false" outlineLevel="0" collapsed="false">
      <c r="B246" s="0" t="str">
        <f aca="false">HYPERLINK("https://genome.ucsc.edu/cgi-bin/hgTracks?db=hg19&amp;position=chr2%3A88890337%2D88890337", "chr2:88890337")</f>
        <v>chr2:88890337</v>
      </c>
      <c r="C246" s="0" t="s">
        <v>93</v>
      </c>
      <c r="D246" s="0" t="n">
        <v>88890337</v>
      </c>
      <c r="E246" s="0" t="n">
        <v>88890337</v>
      </c>
      <c r="F246" s="0" t="s">
        <v>40</v>
      </c>
      <c r="G246" s="0" t="s">
        <v>39</v>
      </c>
      <c r="H246" s="0" t="s">
        <v>1425</v>
      </c>
      <c r="I246" s="0" t="s">
        <v>413</v>
      </c>
      <c r="J246" s="0" t="s">
        <v>414</v>
      </c>
      <c r="K246" s="0" t="s">
        <v>46</v>
      </c>
      <c r="L246" s="0" t="s">
        <v>46</v>
      </c>
      <c r="M246" s="0" t="str">
        <f aca="false">HYPERLINK("https://www.genecards.org/Search/Keyword?queryString=%5Baliases%5D(%20EIF2AK3%20)&amp;keywords=EIF2AK3", "EIF2AK3")</f>
        <v>EIF2AK3</v>
      </c>
      <c r="N246" s="0" t="s">
        <v>98</v>
      </c>
      <c r="O246" s="0" t="s">
        <v>99</v>
      </c>
      <c r="P246" s="0" t="s">
        <v>1460</v>
      </c>
      <c r="Q246" s="0" t="n">
        <v>-1</v>
      </c>
      <c r="R246" s="0" t="n">
        <v>-1</v>
      </c>
      <c r="S246" s="0" t="n">
        <v>-1</v>
      </c>
      <c r="T246" s="0" t="n">
        <v>-1</v>
      </c>
      <c r="U246" s="0" t="n">
        <v>-1</v>
      </c>
      <c r="V246" s="0" t="s">
        <v>767</v>
      </c>
      <c r="W246" s="0" t="s">
        <v>999</v>
      </c>
      <c r="X246" s="0" t="s">
        <v>46</v>
      </c>
      <c r="Y246" s="0" t="s">
        <v>46</v>
      </c>
      <c r="Z246" s="0" t="s">
        <v>183</v>
      </c>
      <c r="AA246" s="0" t="s">
        <v>171</v>
      </c>
      <c r="AB246" s="0" t="s">
        <v>46</v>
      </c>
      <c r="AC246" s="0" t="s">
        <v>51</v>
      </c>
      <c r="AD246" s="0" t="s">
        <v>52</v>
      </c>
      <c r="AE246" s="0" t="s">
        <v>1461</v>
      </c>
      <c r="AF246" s="0" t="s">
        <v>1462</v>
      </c>
      <c r="AG246" s="0" t="s">
        <v>1463</v>
      </c>
      <c r="AH246" s="0" t="s">
        <v>1464</v>
      </c>
      <c r="AI246" s="0" t="s">
        <v>46</v>
      </c>
      <c r="AJ246" s="0" t="s">
        <v>46</v>
      </c>
      <c r="AK246" s="0" t="s">
        <v>46</v>
      </c>
      <c r="AL246" s="0" t="s">
        <v>46</v>
      </c>
    </row>
    <row r="247" customFormat="false" ht="15" hidden="false" customHeight="false" outlineLevel="0" collapsed="false">
      <c r="B247" s="0" t="str">
        <f aca="false">HYPERLINK("https://genome.ucsc.edu/cgi-bin/hgTracks?db=hg19&amp;position=chr2%3A96521607%2D96521607", "chr2:96521607")</f>
        <v>chr2:96521607</v>
      </c>
      <c r="C247" s="0" t="s">
        <v>93</v>
      </c>
      <c r="D247" s="0" t="n">
        <v>96521607</v>
      </c>
      <c r="E247" s="0" t="n">
        <v>96521607</v>
      </c>
      <c r="F247" s="0" t="s">
        <v>69</v>
      </c>
      <c r="G247" s="0" t="s">
        <v>39</v>
      </c>
      <c r="H247" s="0" t="s">
        <v>593</v>
      </c>
      <c r="I247" s="0" t="s">
        <v>379</v>
      </c>
      <c r="J247" s="0" t="s">
        <v>1465</v>
      </c>
      <c r="K247" s="0" t="s">
        <v>46</v>
      </c>
      <c r="L247" s="0" t="str">
        <f aca="false">HYPERLINK("https://www.ncbi.nlm.nih.gov/snp/rs77216432", "rs77216432")</f>
        <v>rs77216432</v>
      </c>
      <c r="M247" s="0" t="str">
        <f aca="false">HYPERLINK("https://www.genecards.org/Search/Keyword?queryString=%5Baliases%5D(%20ANKRD36C%20)&amp;keywords=ANKRD36C", "ANKRD36C")</f>
        <v>ANKRD36C</v>
      </c>
      <c r="N247" s="0" t="s">
        <v>1466</v>
      </c>
      <c r="O247" s="0" t="s">
        <v>99</v>
      </c>
      <c r="P247" s="0" t="s">
        <v>1467</v>
      </c>
      <c r="Q247" s="0" t="n">
        <v>1.29E-005</v>
      </c>
      <c r="R247" s="0" t="n">
        <v>-1</v>
      </c>
      <c r="S247" s="0" t="n">
        <v>-1</v>
      </c>
      <c r="T247" s="0" t="n">
        <v>-1</v>
      </c>
      <c r="U247" s="0" t="n">
        <v>-1</v>
      </c>
      <c r="V247" s="0" t="s">
        <v>148</v>
      </c>
      <c r="W247" s="0" t="s">
        <v>46</v>
      </c>
      <c r="X247" s="0" t="s">
        <v>46</v>
      </c>
      <c r="Y247" s="0" t="s">
        <v>46</v>
      </c>
      <c r="Z247" s="0" t="s">
        <v>159</v>
      </c>
      <c r="AA247" s="0" t="s">
        <v>171</v>
      </c>
      <c r="AB247" s="0" t="s">
        <v>46</v>
      </c>
      <c r="AC247" s="0" t="s">
        <v>51</v>
      </c>
      <c r="AD247" s="0" t="s">
        <v>1468</v>
      </c>
      <c r="AE247" s="0" t="s">
        <v>46</v>
      </c>
      <c r="AF247" s="0" t="s">
        <v>1469</v>
      </c>
      <c r="AG247" s="0" t="s">
        <v>46</v>
      </c>
      <c r="AH247" s="0" t="s">
        <v>46</v>
      </c>
      <c r="AI247" s="0" t="s">
        <v>802</v>
      </c>
      <c r="AJ247" s="0" t="s">
        <v>46</v>
      </c>
      <c r="AK247" s="0" t="s">
        <v>46</v>
      </c>
      <c r="AL247" s="0" t="s">
        <v>46</v>
      </c>
    </row>
    <row r="248" customFormat="false" ht="15" hidden="false" customHeight="false" outlineLevel="0" collapsed="false">
      <c r="B248" s="0" t="str">
        <f aca="false">HYPERLINK("https://genome.ucsc.edu/cgi-bin/hgTracks?db=hg19&amp;position=chr2%3A96521609%2D96521609", "chr2:96521609")</f>
        <v>chr2:96521609</v>
      </c>
      <c r="C248" s="0" t="s">
        <v>93</v>
      </c>
      <c r="D248" s="0" t="n">
        <v>96521609</v>
      </c>
      <c r="E248" s="0" t="n">
        <v>96521609</v>
      </c>
      <c r="F248" s="0" t="s">
        <v>40</v>
      </c>
      <c r="G248" s="0" t="s">
        <v>39</v>
      </c>
      <c r="H248" s="0" t="s">
        <v>593</v>
      </c>
      <c r="I248" s="0" t="s">
        <v>379</v>
      </c>
      <c r="J248" s="0" t="s">
        <v>1465</v>
      </c>
      <c r="K248" s="0" t="s">
        <v>46</v>
      </c>
      <c r="L248" s="0" t="str">
        <f aca="false">HYPERLINK("https://www.ncbi.nlm.nih.gov/snp/rs77089740", "rs77089740")</f>
        <v>rs77089740</v>
      </c>
      <c r="M248" s="0" t="str">
        <f aca="false">HYPERLINK("https://www.genecards.org/Search/Keyword?queryString=%5Baliases%5D(%20ANKRD36C%20)&amp;keywords=ANKRD36C", "ANKRD36C")</f>
        <v>ANKRD36C</v>
      </c>
      <c r="N248" s="0" t="s">
        <v>1466</v>
      </c>
      <c r="O248" s="0" t="s">
        <v>99</v>
      </c>
      <c r="P248" s="0" t="s">
        <v>1470</v>
      </c>
      <c r="Q248" s="0" t="n">
        <v>6.5E-006</v>
      </c>
      <c r="R248" s="0" t="n">
        <v>-1</v>
      </c>
      <c r="S248" s="0" t="n">
        <v>-1</v>
      </c>
      <c r="T248" s="0" t="n">
        <v>-1</v>
      </c>
      <c r="U248" s="0" t="n">
        <v>-1</v>
      </c>
      <c r="V248" s="0" t="s">
        <v>158</v>
      </c>
      <c r="W248" s="0" t="s">
        <v>46</v>
      </c>
      <c r="X248" s="0" t="s">
        <v>46</v>
      </c>
      <c r="Y248" s="0" t="s">
        <v>46</v>
      </c>
      <c r="Z248" s="0" t="s">
        <v>138</v>
      </c>
      <c r="AA248" s="0" t="s">
        <v>171</v>
      </c>
      <c r="AB248" s="0" t="s">
        <v>46</v>
      </c>
      <c r="AC248" s="0" t="s">
        <v>51</v>
      </c>
      <c r="AD248" s="0" t="s">
        <v>1468</v>
      </c>
      <c r="AE248" s="0" t="s">
        <v>46</v>
      </c>
      <c r="AF248" s="0" t="s">
        <v>1469</v>
      </c>
      <c r="AG248" s="0" t="s">
        <v>46</v>
      </c>
      <c r="AH248" s="0" t="s">
        <v>46</v>
      </c>
      <c r="AI248" s="0" t="s">
        <v>802</v>
      </c>
      <c r="AJ248" s="0" t="s">
        <v>46</v>
      </c>
      <c r="AK248" s="0" t="s">
        <v>46</v>
      </c>
      <c r="AL248" s="0" t="s">
        <v>46</v>
      </c>
    </row>
    <row r="249" customFormat="false" ht="15" hidden="false" customHeight="false" outlineLevel="0" collapsed="false">
      <c r="B249" s="0" t="str">
        <f aca="false">HYPERLINK("https://genome.ucsc.edu/cgi-bin/hgTracks?db=hg19&amp;position=chr2%3A96944033%2D96944033", "chr2:96944033")</f>
        <v>chr2:96944033</v>
      </c>
      <c r="C249" s="0" t="s">
        <v>93</v>
      </c>
      <c r="D249" s="0" t="n">
        <v>96944033</v>
      </c>
      <c r="E249" s="0" t="n">
        <v>96944033</v>
      </c>
      <c r="F249" s="0" t="s">
        <v>40</v>
      </c>
      <c r="G249" s="0" t="s">
        <v>39</v>
      </c>
      <c r="H249" s="0" t="s">
        <v>1031</v>
      </c>
      <c r="I249" s="0" t="s">
        <v>565</v>
      </c>
      <c r="J249" s="0" t="s">
        <v>1471</v>
      </c>
      <c r="K249" s="0" t="s">
        <v>46</v>
      </c>
      <c r="L249" s="0" t="str">
        <f aca="false">HYPERLINK("https://www.ncbi.nlm.nih.gov/snp/rs779444178", "rs779444178")</f>
        <v>rs779444178</v>
      </c>
      <c r="M249" s="0" t="str">
        <f aca="false">HYPERLINK("https://www.genecards.org/Search/Keyword?queryString=%5Baliases%5D(%20SNRNP200%20)&amp;keywords=SNRNP200", "SNRNP200")</f>
        <v>SNRNP200</v>
      </c>
      <c r="N249" s="0" t="s">
        <v>98</v>
      </c>
      <c r="O249" s="0" t="s">
        <v>99</v>
      </c>
      <c r="P249" s="0" t="s">
        <v>1472</v>
      </c>
      <c r="Q249" s="0" t="n">
        <v>0.0001</v>
      </c>
      <c r="R249" s="0" t="n">
        <v>0.0001</v>
      </c>
      <c r="S249" s="0" t="n">
        <v>-1</v>
      </c>
      <c r="T249" s="0" t="n">
        <v>-1</v>
      </c>
      <c r="U249" s="0" t="n">
        <v>-1</v>
      </c>
      <c r="V249" s="0" t="s">
        <v>600</v>
      </c>
      <c r="W249" s="0" t="s">
        <v>46</v>
      </c>
      <c r="X249" s="0" t="s">
        <v>46</v>
      </c>
      <c r="Y249" s="0" t="s">
        <v>46</v>
      </c>
      <c r="Z249" s="0" t="s">
        <v>231</v>
      </c>
      <c r="AA249" s="0" t="s">
        <v>171</v>
      </c>
      <c r="AB249" s="0" t="s">
        <v>46</v>
      </c>
      <c r="AC249" s="0" t="s">
        <v>51</v>
      </c>
      <c r="AD249" s="0" t="s">
        <v>52</v>
      </c>
      <c r="AE249" s="0" t="s">
        <v>1473</v>
      </c>
      <c r="AF249" s="0" t="s">
        <v>1474</v>
      </c>
      <c r="AG249" s="0" t="s">
        <v>1475</v>
      </c>
      <c r="AH249" s="0" t="s">
        <v>1476</v>
      </c>
      <c r="AI249" s="0" t="s">
        <v>46</v>
      </c>
      <c r="AJ249" s="0" t="s">
        <v>46</v>
      </c>
      <c r="AK249" s="0" t="s">
        <v>46</v>
      </c>
      <c r="AL249" s="0" t="s">
        <v>46</v>
      </c>
    </row>
    <row r="250" customFormat="false" ht="15" hidden="false" customHeight="false" outlineLevel="0" collapsed="false">
      <c r="B250" s="0" t="str">
        <f aca="false">HYPERLINK("https://genome.ucsc.edu/cgi-bin/hgTracks?db=hg19&amp;position=chr2%3A97531651%2D97531651", "chr2:97531651")</f>
        <v>chr2:97531651</v>
      </c>
      <c r="C250" s="0" t="s">
        <v>93</v>
      </c>
      <c r="D250" s="0" t="n">
        <v>97531651</v>
      </c>
      <c r="E250" s="0" t="n">
        <v>97531651</v>
      </c>
      <c r="F250" s="0" t="s">
        <v>69</v>
      </c>
      <c r="G250" s="0" t="s">
        <v>57</v>
      </c>
      <c r="H250" s="0" t="s">
        <v>1200</v>
      </c>
      <c r="I250" s="0" t="s">
        <v>953</v>
      </c>
      <c r="J250" s="0" t="s">
        <v>1477</v>
      </c>
      <c r="K250" s="0" t="s">
        <v>46</v>
      </c>
      <c r="L250" s="0" t="str">
        <f aca="false">HYPERLINK("https://www.ncbi.nlm.nih.gov/snp/rs141610691", "rs141610691")</f>
        <v>rs141610691</v>
      </c>
      <c r="M250" s="0" t="str">
        <f aca="false">HYPERLINK("https://www.genecards.org/Search/Keyword?queryString=%5Baliases%5D(%20SEMA4C%20)&amp;keywords=SEMA4C", "SEMA4C")</f>
        <v>SEMA4C</v>
      </c>
      <c r="N250" s="0" t="s">
        <v>98</v>
      </c>
      <c r="O250" s="0" t="s">
        <v>99</v>
      </c>
      <c r="P250" s="0" t="s">
        <v>1478</v>
      </c>
      <c r="Q250" s="0" t="n">
        <v>0.006098</v>
      </c>
      <c r="R250" s="0" t="n">
        <v>0.0033</v>
      </c>
      <c r="S250" s="0" t="n">
        <v>0.0036</v>
      </c>
      <c r="T250" s="0" t="n">
        <v>-1</v>
      </c>
      <c r="U250" s="0" t="n">
        <v>0.0042</v>
      </c>
      <c r="V250" s="0" t="s">
        <v>170</v>
      </c>
      <c r="W250" s="0" t="s">
        <v>46</v>
      </c>
      <c r="X250" s="0" t="s">
        <v>46</v>
      </c>
      <c r="Y250" s="0" t="s">
        <v>46</v>
      </c>
      <c r="Z250" s="0" t="s">
        <v>138</v>
      </c>
      <c r="AA250" s="0" t="s">
        <v>171</v>
      </c>
      <c r="AB250" s="0" t="s">
        <v>46</v>
      </c>
      <c r="AC250" s="0" t="s">
        <v>51</v>
      </c>
      <c r="AD250" s="0" t="s">
        <v>52</v>
      </c>
      <c r="AE250" s="0" t="s">
        <v>1479</v>
      </c>
      <c r="AF250" s="0" t="s">
        <v>1480</v>
      </c>
      <c r="AG250" s="0" t="s">
        <v>1481</v>
      </c>
      <c r="AH250" s="0" t="s">
        <v>46</v>
      </c>
      <c r="AI250" s="0" t="s">
        <v>46</v>
      </c>
      <c r="AJ250" s="0" t="s">
        <v>46</v>
      </c>
      <c r="AK250" s="0" t="s">
        <v>46</v>
      </c>
      <c r="AL250" s="0" t="s">
        <v>46</v>
      </c>
    </row>
    <row r="251" customFormat="false" ht="15" hidden="false" customHeight="false" outlineLevel="0" collapsed="false">
      <c r="B251" s="0" t="str">
        <f aca="false">HYPERLINK("https://genome.ucsc.edu/cgi-bin/hgTracks?db=hg19&amp;position=chr2%3A102493546%2D102493546", "chr2:102493546")</f>
        <v>chr2:102493546</v>
      </c>
      <c r="C251" s="0" t="s">
        <v>93</v>
      </c>
      <c r="D251" s="0" t="n">
        <v>102493546</v>
      </c>
      <c r="E251" s="0" t="n">
        <v>102493546</v>
      </c>
      <c r="F251" s="0" t="s">
        <v>57</v>
      </c>
      <c r="G251" s="0" t="s">
        <v>69</v>
      </c>
      <c r="H251" s="0" t="s">
        <v>1482</v>
      </c>
      <c r="I251" s="0" t="s">
        <v>154</v>
      </c>
      <c r="J251" s="0" t="s">
        <v>655</v>
      </c>
      <c r="K251" s="0" t="s">
        <v>46</v>
      </c>
      <c r="L251" s="0" t="str">
        <f aca="false">HYPERLINK("https://www.ncbi.nlm.nih.gov/snp/rs150787735", "rs150787735")</f>
        <v>rs150787735</v>
      </c>
      <c r="M251" s="0" t="str">
        <f aca="false">HYPERLINK("https://www.genecards.org/Search/Keyword?queryString=%5Baliases%5D(%20MAP4K4%20)&amp;keywords=MAP4K4", "MAP4K4")</f>
        <v>MAP4K4</v>
      </c>
      <c r="N251" s="0" t="s">
        <v>98</v>
      </c>
      <c r="O251" s="0" t="s">
        <v>99</v>
      </c>
      <c r="P251" s="0" t="s">
        <v>1483</v>
      </c>
      <c r="Q251" s="0" t="n">
        <v>0.0172</v>
      </c>
      <c r="R251" s="0" t="n">
        <v>0.0012</v>
      </c>
      <c r="S251" s="0" t="n">
        <v>0.0015</v>
      </c>
      <c r="T251" s="0" t="n">
        <v>-1</v>
      </c>
      <c r="U251" s="0" t="n">
        <v>0.0018</v>
      </c>
      <c r="V251" s="0" t="s">
        <v>170</v>
      </c>
      <c r="W251" s="0" t="s">
        <v>46</v>
      </c>
      <c r="X251" s="0" t="s">
        <v>46</v>
      </c>
      <c r="Y251" s="0" t="s">
        <v>46</v>
      </c>
      <c r="Z251" s="0" t="s">
        <v>159</v>
      </c>
      <c r="AA251" s="0" t="s">
        <v>171</v>
      </c>
      <c r="AB251" s="0" t="s">
        <v>46</v>
      </c>
      <c r="AC251" s="0" t="s">
        <v>51</v>
      </c>
      <c r="AD251" s="0" t="s">
        <v>52</v>
      </c>
      <c r="AE251" s="0" t="s">
        <v>1484</v>
      </c>
      <c r="AF251" s="0" t="s">
        <v>1485</v>
      </c>
      <c r="AG251" s="0" t="s">
        <v>1486</v>
      </c>
      <c r="AH251" s="0" t="s">
        <v>46</v>
      </c>
      <c r="AI251" s="0" t="s">
        <v>46</v>
      </c>
      <c r="AJ251" s="0" t="s">
        <v>46</v>
      </c>
      <c r="AK251" s="0" t="s">
        <v>46</v>
      </c>
      <c r="AL251" s="0" t="s">
        <v>46</v>
      </c>
    </row>
    <row r="252" customFormat="false" ht="15" hidden="false" customHeight="false" outlineLevel="0" collapsed="false">
      <c r="B252" s="0" t="str">
        <f aca="false">HYPERLINK("https://genome.ucsc.edu/cgi-bin/hgTracks?db=hg19&amp;position=chr2%3A173334022%2D173334022", "chr2:173334022")</f>
        <v>chr2:173334022</v>
      </c>
      <c r="C252" s="0" t="s">
        <v>93</v>
      </c>
      <c r="D252" s="0" t="n">
        <v>173334022</v>
      </c>
      <c r="E252" s="0" t="n">
        <v>173334022</v>
      </c>
      <c r="F252" s="0" t="s">
        <v>69</v>
      </c>
      <c r="G252" s="0" t="s">
        <v>39</v>
      </c>
      <c r="H252" s="0" t="s">
        <v>1487</v>
      </c>
      <c r="I252" s="0" t="s">
        <v>348</v>
      </c>
      <c r="J252" s="0" t="s">
        <v>931</v>
      </c>
      <c r="K252" s="0" t="s">
        <v>46</v>
      </c>
      <c r="L252" s="0" t="s">
        <v>46</v>
      </c>
      <c r="M252" s="0" t="str">
        <f aca="false">HYPERLINK("https://www.genecards.org/Search/Keyword?queryString=%5Baliases%5D(%20ITGA6%20)&amp;keywords=ITGA6", "ITGA6")</f>
        <v>ITGA6</v>
      </c>
      <c r="N252" s="0" t="s">
        <v>98</v>
      </c>
      <c r="O252" s="0" t="s">
        <v>99</v>
      </c>
      <c r="P252" s="0" t="s">
        <v>1488</v>
      </c>
      <c r="Q252" s="0" t="n">
        <v>-1</v>
      </c>
      <c r="R252" s="0" t="n">
        <v>-1</v>
      </c>
      <c r="S252" s="0" t="n">
        <v>-1</v>
      </c>
      <c r="T252" s="0" t="n">
        <v>-1</v>
      </c>
      <c r="U252" s="0" t="n">
        <v>-1</v>
      </c>
      <c r="V252" s="0" t="s">
        <v>697</v>
      </c>
      <c r="W252" s="0" t="s">
        <v>46</v>
      </c>
      <c r="X252" s="0" t="s">
        <v>46</v>
      </c>
      <c r="Y252" s="0" t="s">
        <v>46</v>
      </c>
      <c r="Z252" s="0" t="s">
        <v>481</v>
      </c>
      <c r="AA252" s="0" t="s">
        <v>171</v>
      </c>
      <c r="AB252" s="0" t="s">
        <v>46</v>
      </c>
      <c r="AC252" s="0" t="s">
        <v>51</v>
      </c>
      <c r="AD252" s="0" t="s">
        <v>52</v>
      </c>
      <c r="AE252" s="0" t="s">
        <v>1489</v>
      </c>
      <c r="AF252" s="0" t="s">
        <v>1490</v>
      </c>
      <c r="AG252" s="0" t="s">
        <v>1491</v>
      </c>
      <c r="AH252" s="0" t="s">
        <v>1492</v>
      </c>
      <c r="AI252" s="0" t="s">
        <v>46</v>
      </c>
      <c r="AJ252" s="0" t="s">
        <v>46</v>
      </c>
      <c r="AK252" s="0" t="s">
        <v>46</v>
      </c>
      <c r="AL252" s="0" t="s">
        <v>46</v>
      </c>
    </row>
    <row r="253" customFormat="false" ht="15" hidden="false" customHeight="false" outlineLevel="0" collapsed="false">
      <c r="B253" s="0" t="str">
        <f aca="false">HYPERLINK("https://genome.ucsc.edu/cgi-bin/hgTracks?db=hg19&amp;position=chr2%3A174820522%2D174820522", "chr2:174820522")</f>
        <v>chr2:174820522</v>
      </c>
      <c r="C253" s="0" t="s">
        <v>93</v>
      </c>
      <c r="D253" s="0" t="n">
        <v>174820522</v>
      </c>
      <c r="E253" s="0" t="n">
        <v>174820522</v>
      </c>
      <c r="F253" s="0" t="s">
        <v>39</v>
      </c>
      <c r="G253" s="0" t="s">
        <v>40</v>
      </c>
      <c r="H253" s="0" t="s">
        <v>1493</v>
      </c>
      <c r="I253" s="0" t="s">
        <v>1494</v>
      </c>
      <c r="J253" s="0" t="s">
        <v>1495</v>
      </c>
      <c r="K253" s="0" t="s">
        <v>46</v>
      </c>
      <c r="L253" s="0" t="str">
        <f aca="false">HYPERLINK("https://www.ncbi.nlm.nih.gov/snp/rs779955429", "rs779955429")</f>
        <v>rs779955429</v>
      </c>
      <c r="M253" s="0" t="str">
        <f aca="false">HYPERLINK("https://www.genecards.org/Search/Keyword?queryString=%5Baliases%5D(%20SP3%20)&amp;keywords=SP3", "SP3")</f>
        <v>SP3</v>
      </c>
      <c r="N253" s="0" t="s">
        <v>98</v>
      </c>
      <c r="O253" s="0" t="s">
        <v>99</v>
      </c>
      <c r="P253" s="0" t="s">
        <v>1496</v>
      </c>
      <c r="Q253" s="0" t="n">
        <v>0.0003</v>
      </c>
      <c r="R253" s="0" t="n">
        <v>0.0003</v>
      </c>
      <c r="S253" s="0" t="n">
        <v>0.0004</v>
      </c>
      <c r="T253" s="0" t="n">
        <v>-1</v>
      </c>
      <c r="U253" s="0" t="n">
        <v>0.0002</v>
      </c>
      <c r="V253" s="0" t="s">
        <v>215</v>
      </c>
      <c r="W253" s="0" t="s">
        <v>46</v>
      </c>
      <c r="X253" s="0" t="s">
        <v>46</v>
      </c>
      <c r="Y253" s="0" t="s">
        <v>46</v>
      </c>
      <c r="Z253" s="0" t="s">
        <v>231</v>
      </c>
      <c r="AA253" s="0" t="s">
        <v>171</v>
      </c>
      <c r="AB253" s="0" t="s">
        <v>46</v>
      </c>
      <c r="AC253" s="0" t="s">
        <v>51</v>
      </c>
      <c r="AD253" s="0" t="s">
        <v>52</v>
      </c>
      <c r="AE253" s="0" t="s">
        <v>1497</v>
      </c>
      <c r="AF253" s="0" t="s">
        <v>1498</v>
      </c>
      <c r="AG253" s="0" t="s">
        <v>1499</v>
      </c>
      <c r="AH253" s="0" t="s">
        <v>46</v>
      </c>
      <c r="AI253" s="0" t="s">
        <v>46</v>
      </c>
      <c r="AJ253" s="0" t="s">
        <v>46</v>
      </c>
      <c r="AK253" s="0" t="s">
        <v>46</v>
      </c>
      <c r="AL253" s="0" t="s">
        <v>46</v>
      </c>
    </row>
    <row r="254" customFormat="false" ht="15" hidden="false" customHeight="false" outlineLevel="0" collapsed="false">
      <c r="B254" s="0" t="str">
        <f aca="false">HYPERLINK("https://genome.ucsc.edu/cgi-bin/hgTracks?db=hg19&amp;position=chr2%3A179595424%2D179595424", "chr2:179595424")</f>
        <v>chr2:179595424</v>
      </c>
      <c r="C254" s="0" t="s">
        <v>93</v>
      </c>
      <c r="D254" s="0" t="n">
        <v>179595424</v>
      </c>
      <c r="E254" s="0" t="n">
        <v>179595424</v>
      </c>
      <c r="F254" s="0" t="s">
        <v>69</v>
      </c>
      <c r="G254" s="0" t="s">
        <v>57</v>
      </c>
      <c r="H254" s="0" t="s">
        <v>1500</v>
      </c>
      <c r="I254" s="0" t="s">
        <v>1146</v>
      </c>
      <c r="J254" s="0" t="s">
        <v>1501</v>
      </c>
      <c r="K254" s="0" t="s">
        <v>46</v>
      </c>
      <c r="L254" s="0" t="s">
        <v>46</v>
      </c>
      <c r="M254" s="0" t="str">
        <f aca="false">HYPERLINK("https://www.genecards.org/Search/Keyword?queryString=%5Baliases%5D(%20TTN%20)&amp;keywords=TTN", "TTN")</f>
        <v>TTN</v>
      </c>
      <c r="N254" s="0" t="s">
        <v>98</v>
      </c>
      <c r="O254" s="0" t="s">
        <v>99</v>
      </c>
      <c r="P254" s="0" t="s">
        <v>1502</v>
      </c>
      <c r="Q254" s="0" t="n">
        <v>-1</v>
      </c>
      <c r="R254" s="0" t="n">
        <v>-1</v>
      </c>
      <c r="S254" s="0" t="n">
        <v>-1</v>
      </c>
      <c r="T254" s="0" t="n">
        <v>-1</v>
      </c>
      <c r="U254" s="0" t="n">
        <v>-1</v>
      </c>
      <c r="V254" s="0" t="s">
        <v>314</v>
      </c>
      <c r="W254" s="0" t="s">
        <v>46</v>
      </c>
      <c r="X254" s="0" t="s">
        <v>46</v>
      </c>
      <c r="Y254" s="0" t="s">
        <v>46</v>
      </c>
      <c r="Z254" s="0" t="s">
        <v>102</v>
      </c>
      <c r="AA254" s="0" t="s">
        <v>171</v>
      </c>
      <c r="AB254" s="0" t="s">
        <v>46</v>
      </c>
      <c r="AC254" s="0" t="s">
        <v>51</v>
      </c>
      <c r="AD254" s="0" t="s">
        <v>52</v>
      </c>
      <c r="AE254" s="0" t="s">
        <v>1503</v>
      </c>
      <c r="AF254" s="0" t="s">
        <v>1504</v>
      </c>
      <c r="AG254" s="0" t="s">
        <v>1505</v>
      </c>
      <c r="AH254" s="0" t="s">
        <v>1506</v>
      </c>
      <c r="AI254" s="0" t="s">
        <v>46</v>
      </c>
      <c r="AJ254" s="0" t="s">
        <v>46</v>
      </c>
      <c r="AK254" s="0" t="s">
        <v>46</v>
      </c>
      <c r="AL254" s="0" t="s">
        <v>46</v>
      </c>
    </row>
    <row r="255" customFormat="false" ht="15" hidden="false" customHeight="false" outlineLevel="0" collapsed="false">
      <c r="B255" s="0" t="str">
        <f aca="false">HYPERLINK("https://genome.ucsc.edu/cgi-bin/hgTracks?db=hg19&amp;position=chr2%3A202154468%2D202154468", "chr2:202154468")</f>
        <v>chr2:202154468</v>
      </c>
      <c r="C255" s="0" t="s">
        <v>93</v>
      </c>
      <c r="D255" s="0" t="n">
        <v>202154468</v>
      </c>
      <c r="E255" s="0" t="n">
        <v>202154468</v>
      </c>
      <c r="F255" s="0" t="s">
        <v>40</v>
      </c>
      <c r="G255" s="0" t="s">
        <v>39</v>
      </c>
      <c r="H255" s="0" t="s">
        <v>1507</v>
      </c>
      <c r="I255" s="0" t="s">
        <v>71</v>
      </c>
      <c r="J255" s="0" t="s">
        <v>1508</v>
      </c>
      <c r="K255" s="0" t="s">
        <v>46</v>
      </c>
      <c r="L255" s="0" t="str">
        <f aca="false">HYPERLINK("https://www.ncbi.nlm.nih.gov/snp/rs200570912", "rs200570912")</f>
        <v>rs200570912</v>
      </c>
      <c r="M255" s="0" t="str">
        <f aca="false">HYPERLINK("https://www.genecards.org/Search/Keyword?queryString=%5Baliases%5D(%20ALS2CR12%20)%20OR%20%5Baliases%5D(%20FLACC1%20)&amp;keywords=ALS2CR12,FLACC1", "ALS2CR12;FLACC1")</f>
        <v>ALS2CR12;FLACC1</v>
      </c>
      <c r="N255" s="0" t="s">
        <v>98</v>
      </c>
      <c r="O255" s="0" t="s">
        <v>99</v>
      </c>
      <c r="P255" s="0" t="s">
        <v>1509</v>
      </c>
      <c r="Q255" s="0" t="n">
        <v>0.0035</v>
      </c>
      <c r="R255" s="0" t="n">
        <v>0.0003</v>
      </c>
      <c r="S255" s="0" t="n">
        <v>0.0004</v>
      </c>
      <c r="T255" s="0" t="n">
        <v>-1</v>
      </c>
      <c r="U255" s="0" t="n">
        <v>0.0004</v>
      </c>
      <c r="V255" s="0" t="s">
        <v>194</v>
      </c>
      <c r="W255" s="0" t="s">
        <v>46</v>
      </c>
      <c r="X255" s="0" t="s">
        <v>46</v>
      </c>
      <c r="Y255" s="0" t="s">
        <v>46</v>
      </c>
      <c r="Z255" s="0" t="s">
        <v>159</v>
      </c>
      <c r="AA255" s="0" t="s">
        <v>171</v>
      </c>
      <c r="AB255" s="0" t="s">
        <v>46</v>
      </c>
      <c r="AC255" s="0" t="s">
        <v>51</v>
      </c>
      <c r="AD255" s="0" t="s">
        <v>437</v>
      </c>
      <c r="AE255" s="0" t="s">
        <v>1510</v>
      </c>
      <c r="AF255" s="0" t="s">
        <v>1511</v>
      </c>
      <c r="AG255" s="0" t="s">
        <v>46</v>
      </c>
      <c r="AH255" s="0" t="s">
        <v>46</v>
      </c>
      <c r="AI255" s="0" t="s">
        <v>46</v>
      </c>
      <c r="AJ255" s="0" t="s">
        <v>46</v>
      </c>
      <c r="AK255" s="0" t="s">
        <v>46</v>
      </c>
      <c r="AL255" s="0" t="s">
        <v>46</v>
      </c>
    </row>
    <row r="256" customFormat="false" ht="15" hidden="false" customHeight="false" outlineLevel="0" collapsed="false">
      <c r="B256" s="0" t="str">
        <f aca="false">HYPERLINK("https://genome.ucsc.edu/cgi-bin/hgTracks?db=hg19&amp;position=chr2%3A216946463%2D216946463", "chr2:216946463")</f>
        <v>chr2:216946463</v>
      </c>
      <c r="C256" s="0" t="s">
        <v>93</v>
      </c>
      <c r="D256" s="0" t="n">
        <v>216946463</v>
      </c>
      <c r="E256" s="0" t="n">
        <v>216946463</v>
      </c>
      <c r="F256" s="0" t="s">
        <v>57</v>
      </c>
      <c r="G256" s="0" t="s">
        <v>69</v>
      </c>
      <c r="H256" s="0" t="s">
        <v>848</v>
      </c>
      <c r="I256" s="0" t="s">
        <v>547</v>
      </c>
      <c r="J256" s="0" t="s">
        <v>676</v>
      </c>
      <c r="K256" s="0" t="s">
        <v>46</v>
      </c>
      <c r="L256" s="0" t="str">
        <f aca="false">HYPERLINK("https://www.ncbi.nlm.nih.gov/snp/rs144581659", "rs144581659")</f>
        <v>rs144581659</v>
      </c>
      <c r="M256" s="0" t="str">
        <f aca="false">HYPERLINK("https://www.genecards.org/Search/Keyword?queryString=%5Baliases%5D(%20PECR%20)&amp;keywords=PECR", "PECR")</f>
        <v>PECR</v>
      </c>
      <c r="N256" s="0" t="s">
        <v>98</v>
      </c>
      <c r="O256" s="0" t="s">
        <v>363</v>
      </c>
      <c r="P256" s="0" t="s">
        <v>1512</v>
      </c>
      <c r="Q256" s="0" t="n">
        <v>0.008621</v>
      </c>
      <c r="R256" s="0" t="n">
        <v>0.001</v>
      </c>
      <c r="S256" s="0" t="n">
        <v>0.0011</v>
      </c>
      <c r="T256" s="0" t="n">
        <v>-1</v>
      </c>
      <c r="U256" s="0" t="n">
        <v>0.0005</v>
      </c>
      <c r="V256" s="0" t="s">
        <v>126</v>
      </c>
      <c r="W256" s="0" t="s">
        <v>46</v>
      </c>
      <c r="X256" s="0" t="s">
        <v>46</v>
      </c>
      <c r="Y256" s="0" t="s">
        <v>46</v>
      </c>
      <c r="Z256" s="0" t="s">
        <v>138</v>
      </c>
      <c r="AA256" s="0" t="s">
        <v>171</v>
      </c>
      <c r="AB256" s="0" t="s">
        <v>46</v>
      </c>
      <c r="AC256" s="0" t="s">
        <v>51</v>
      </c>
      <c r="AD256" s="0" t="s">
        <v>52</v>
      </c>
      <c r="AE256" s="0" t="s">
        <v>1513</v>
      </c>
      <c r="AF256" s="0" t="s">
        <v>1514</v>
      </c>
      <c r="AG256" s="0" t="s">
        <v>1515</v>
      </c>
      <c r="AH256" s="0" t="s">
        <v>46</v>
      </c>
      <c r="AI256" s="0" t="s">
        <v>46</v>
      </c>
      <c r="AJ256" s="0" t="s">
        <v>46</v>
      </c>
      <c r="AK256" s="0" t="s">
        <v>46</v>
      </c>
      <c r="AL256" s="0" t="s">
        <v>46</v>
      </c>
    </row>
    <row r="257" customFormat="false" ht="15" hidden="false" customHeight="false" outlineLevel="0" collapsed="false">
      <c r="B257" s="0" t="str">
        <f aca="false">HYPERLINK("https://genome.ucsc.edu/cgi-bin/hgTracks?db=hg19&amp;position=chr2%3A218999762%2D218999762", "chr2:218999762")</f>
        <v>chr2:218999762</v>
      </c>
      <c r="C257" s="0" t="s">
        <v>93</v>
      </c>
      <c r="D257" s="0" t="n">
        <v>218999762</v>
      </c>
      <c r="E257" s="0" t="n">
        <v>218999762</v>
      </c>
      <c r="F257" s="0" t="s">
        <v>39</v>
      </c>
      <c r="G257" s="0" t="s">
        <v>57</v>
      </c>
      <c r="H257" s="0" t="s">
        <v>1516</v>
      </c>
      <c r="I257" s="0" t="s">
        <v>761</v>
      </c>
      <c r="J257" s="0" t="s">
        <v>1517</v>
      </c>
      <c r="K257" s="0" t="s">
        <v>46</v>
      </c>
      <c r="L257" s="0" t="str">
        <f aca="false">HYPERLINK("https://www.ncbi.nlm.nih.gov/snp/rs138773569", "rs138773569")</f>
        <v>rs138773569</v>
      </c>
      <c r="M257" s="0" t="str">
        <f aca="false">HYPERLINK("https://www.genecards.org/Search/Keyword?queryString=%5Baliases%5D(%20CXCR2%20)&amp;keywords=CXCR2", "CXCR2")</f>
        <v>CXCR2</v>
      </c>
      <c r="N257" s="0" t="s">
        <v>98</v>
      </c>
      <c r="O257" s="0" t="s">
        <v>99</v>
      </c>
      <c r="P257" s="0" t="s">
        <v>1518</v>
      </c>
      <c r="Q257" s="0" t="n">
        <v>6.5E-006</v>
      </c>
      <c r="R257" s="0" t="n">
        <v>-1</v>
      </c>
      <c r="S257" s="0" t="n">
        <v>-1</v>
      </c>
      <c r="T257" s="0" t="n">
        <v>-1</v>
      </c>
      <c r="U257" s="0" t="n">
        <v>-1</v>
      </c>
      <c r="V257" s="0" t="s">
        <v>600</v>
      </c>
      <c r="W257" s="0" t="s">
        <v>46</v>
      </c>
      <c r="X257" s="0" t="s">
        <v>46</v>
      </c>
      <c r="Y257" s="0" t="s">
        <v>46</v>
      </c>
      <c r="Z257" s="0" t="s">
        <v>49</v>
      </c>
      <c r="AA257" s="0" t="s">
        <v>171</v>
      </c>
      <c r="AB257" s="0" t="s">
        <v>46</v>
      </c>
      <c r="AC257" s="0" t="s">
        <v>51</v>
      </c>
      <c r="AD257" s="0" t="s">
        <v>52</v>
      </c>
      <c r="AE257" s="0" t="s">
        <v>1519</v>
      </c>
      <c r="AF257" s="0" t="s">
        <v>1520</v>
      </c>
      <c r="AG257" s="0" t="s">
        <v>1521</v>
      </c>
      <c r="AH257" s="0" t="s">
        <v>46</v>
      </c>
      <c r="AI257" s="0" t="s">
        <v>46</v>
      </c>
      <c r="AJ257" s="0" t="s">
        <v>46</v>
      </c>
      <c r="AK257" s="0" t="s">
        <v>46</v>
      </c>
      <c r="AL257" s="0" t="s">
        <v>609</v>
      </c>
    </row>
    <row r="258" customFormat="false" ht="15" hidden="false" customHeight="false" outlineLevel="0" collapsed="false">
      <c r="B258" s="0" t="str">
        <f aca="false">HYPERLINK("https://genome.ucsc.edu/cgi-bin/hgTracks?db=hg19&amp;position=chr2%3A219232578%2D219232578", "chr2:219232578")</f>
        <v>chr2:219232578</v>
      </c>
      <c r="C258" s="0" t="s">
        <v>93</v>
      </c>
      <c r="D258" s="0" t="n">
        <v>219232578</v>
      </c>
      <c r="E258" s="0" t="n">
        <v>219232578</v>
      </c>
      <c r="F258" s="0" t="s">
        <v>69</v>
      </c>
      <c r="G258" s="0" t="s">
        <v>57</v>
      </c>
      <c r="H258" s="0" t="s">
        <v>935</v>
      </c>
      <c r="I258" s="0" t="s">
        <v>1146</v>
      </c>
      <c r="J258" s="0" t="s">
        <v>1501</v>
      </c>
      <c r="K258" s="0" t="s">
        <v>46</v>
      </c>
      <c r="L258" s="0" t="str">
        <f aca="false">HYPERLINK("https://www.ncbi.nlm.nih.gov/snp/rs746373171", "rs746373171")</f>
        <v>rs746373171</v>
      </c>
      <c r="M258" s="0" t="str">
        <f aca="false">HYPERLINK("https://www.genecards.org/Search/Keyword?queryString=%5Baliases%5D(%20C2orf62%20)%20OR%20%5Baliases%5D(%20CATIP%20)&amp;keywords=C2orf62,CATIP", "C2orf62;CATIP")</f>
        <v>C2orf62;CATIP</v>
      </c>
      <c r="N258" s="0" t="s">
        <v>98</v>
      </c>
      <c r="O258" s="0" t="s">
        <v>99</v>
      </c>
      <c r="P258" s="0" t="s">
        <v>1522</v>
      </c>
      <c r="Q258" s="0" t="n">
        <v>0.0012</v>
      </c>
      <c r="R258" s="0" t="n">
        <v>0.0012</v>
      </c>
      <c r="S258" s="0" t="n">
        <v>0.0018</v>
      </c>
      <c r="T258" s="0" t="n">
        <v>-1</v>
      </c>
      <c r="U258" s="0" t="n">
        <v>0.0041</v>
      </c>
      <c r="V258" s="0" t="s">
        <v>170</v>
      </c>
      <c r="W258" s="0" t="s">
        <v>46</v>
      </c>
      <c r="X258" s="0" t="s">
        <v>46</v>
      </c>
      <c r="Y258" s="0" t="s">
        <v>46</v>
      </c>
      <c r="Z258" s="0" t="s">
        <v>49</v>
      </c>
      <c r="AA258" s="0" t="s">
        <v>171</v>
      </c>
      <c r="AB258" s="0" t="s">
        <v>46</v>
      </c>
      <c r="AC258" s="0" t="s">
        <v>51</v>
      </c>
      <c r="AD258" s="0" t="s">
        <v>437</v>
      </c>
      <c r="AE258" s="0" t="s">
        <v>46</v>
      </c>
      <c r="AF258" s="0" t="s">
        <v>1523</v>
      </c>
      <c r="AG258" s="0" t="s">
        <v>1524</v>
      </c>
      <c r="AH258" s="0" t="s">
        <v>46</v>
      </c>
      <c r="AI258" s="0" t="s">
        <v>46</v>
      </c>
      <c r="AJ258" s="0" t="s">
        <v>46</v>
      </c>
      <c r="AK258" s="0" t="s">
        <v>46</v>
      </c>
      <c r="AL258" s="0" t="s">
        <v>46</v>
      </c>
    </row>
    <row r="259" customFormat="false" ht="15" hidden="false" customHeight="false" outlineLevel="0" collapsed="false">
      <c r="B259" s="0" t="str">
        <f aca="false">HYPERLINK("https://genome.ucsc.edu/cgi-bin/hgTracks?db=hg19&amp;position=chr20%3A25319891%2D25319891", "chr20:25319891")</f>
        <v>chr20:25319891</v>
      </c>
      <c r="C259" s="0" t="s">
        <v>188</v>
      </c>
      <c r="D259" s="0" t="n">
        <v>25319891</v>
      </c>
      <c r="E259" s="0" t="n">
        <v>25319891</v>
      </c>
      <c r="F259" s="0" t="s">
        <v>40</v>
      </c>
      <c r="G259" s="0" t="s">
        <v>39</v>
      </c>
      <c r="H259" s="0" t="s">
        <v>1525</v>
      </c>
      <c r="I259" s="0" t="s">
        <v>1090</v>
      </c>
      <c r="J259" s="0" t="s">
        <v>1526</v>
      </c>
      <c r="K259" s="0" t="s">
        <v>46</v>
      </c>
      <c r="L259" s="0" t="s">
        <v>46</v>
      </c>
      <c r="M259" s="0" t="str">
        <f aca="false">HYPERLINK("https://www.genecards.org/Search/Keyword?queryString=%5Baliases%5D(%20ABHD12%20)&amp;keywords=ABHD12", "ABHD12")</f>
        <v>ABHD12</v>
      </c>
      <c r="N259" s="0" t="s">
        <v>98</v>
      </c>
      <c r="O259" s="0" t="s">
        <v>99</v>
      </c>
      <c r="P259" s="0" t="s">
        <v>1527</v>
      </c>
      <c r="Q259" s="0" t="n">
        <v>-1</v>
      </c>
      <c r="R259" s="0" t="n">
        <v>-1</v>
      </c>
      <c r="S259" s="0" t="n">
        <v>-1</v>
      </c>
      <c r="T259" s="0" t="n">
        <v>-1</v>
      </c>
      <c r="U259" s="0" t="n">
        <v>-1</v>
      </c>
      <c r="V259" s="0" t="s">
        <v>767</v>
      </c>
      <c r="W259" s="0" t="s">
        <v>46</v>
      </c>
      <c r="X259" s="0" t="s">
        <v>46</v>
      </c>
      <c r="Y259" s="0" t="s">
        <v>46</v>
      </c>
      <c r="Z259" s="0" t="s">
        <v>102</v>
      </c>
      <c r="AA259" s="0" t="s">
        <v>171</v>
      </c>
      <c r="AB259" s="0" t="s">
        <v>46</v>
      </c>
      <c r="AC259" s="0" t="s">
        <v>51</v>
      </c>
      <c r="AD259" s="0" t="s">
        <v>52</v>
      </c>
      <c r="AE259" s="0" t="s">
        <v>1528</v>
      </c>
      <c r="AF259" s="0" t="s">
        <v>1529</v>
      </c>
      <c r="AG259" s="0" t="s">
        <v>1530</v>
      </c>
      <c r="AH259" s="0" t="s">
        <v>1531</v>
      </c>
      <c r="AI259" s="0" t="s">
        <v>46</v>
      </c>
      <c r="AJ259" s="0" t="s">
        <v>46</v>
      </c>
      <c r="AK259" s="0" t="s">
        <v>46</v>
      </c>
      <c r="AL259" s="0" t="s">
        <v>46</v>
      </c>
    </row>
    <row r="260" customFormat="false" ht="15" hidden="false" customHeight="false" outlineLevel="0" collapsed="false">
      <c r="B260" s="0" t="str">
        <f aca="false">HYPERLINK("https://genome.ucsc.edu/cgi-bin/hgTracks?db=hg19&amp;position=chr20%3A30449420%2D30449420", "chr20:30449420")</f>
        <v>chr20:30449420</v>
      </c>
      <c r="C260" s="0" t="s">
        <v>188</v>
      </c>
      <c r="D260" s="0" t="n">
        <v>30449420</v>
      </c>
      <c r="E260" s="0" t="n">
        <v>30449420</v>
      </c>
      <c r="F260" s="0" t="s">
        <v>57</v>
      </c>
      <c r="G260" s="0" t="s">
        <v>39</v>
      </c>
      <c r="H260" s="0" t="s">
        <v>1532</v>
      </c>
      <c r="I260" s="0" t="s">
        <v>452</v>
      </c>
      <c r="J260" s="0" t="s">
        <v>1533</v>
      </c>
      <c r="K260" s="0" t="s">
        <v>46</v>
      </c>
      <c r="L260" s="0" t="str">
        <f aca="false">HYPERLINK("https://www.ncbi.nlm.nih.gov/snp/rs184251613", "rs184251613")</f>
        <v>rs184251613</v>
      </c>
      <c r="M260" s="0" t="str">
        <f aca="false">HYPERLINK("https://www.genecards.org/Search/Keyword?queryString=%5Baliases%5D(%20DUSP15%20)&amp;keywords=DUSP15", "DUSP15")</f>
        <v>DUSP15</v>
      </c>
      <c r="N260" s="0" t="s">
        <v>98</v>
      </c>
      <c r="O260" s="0" t="s">
        <v>99</v>
      </c>
      <c r="P260" s="0" t="s">
        <v>1534</v>
      </c>
      <c r="Q260" s="0" t="n">
        <v>0.005952</v>
      </c>
      <c r="R260" s="0" t="n">
        <v>0.005</v>
      </c>
      <c r="S260" s="0" t="n">
        <v>0.0048</v>
      </c>
      <c r="T260" s="0" t="n">
        <v>-1</v>
      </c>
      <c r="U260" s="0" t="n">
        <v>0.0059</v>
      </c>
      <c r="V260" s="0" t="s">
        <v>1332</v>
      </c>
      <c r="W260" s="0" t="s">
        <v>46</v>
      </c>
      <c r="X260" s="0" t="s">
        <v>46</v>
      </c>
      <c r="Y260" s="0" t="s">
        <v>46</v>
      </c>
      <c r="Z260" s="0" t="s">
        <v>49</v>
      </c>
      <c r="AA260" s="0" t="s">
        <v>171</v>
      </c>
      <c r="AB260" s="0" t="s">
        <v>46</v>
      </c>
      <c r="AC260" s="0" t="s">
        <v>51</v>
      </c>
      <c r="AD260" s="0" t="s">
        <v>52</v>
      </c>
      <c r="AE260" s="0" t="s">
        <v>1535</v>
      </c>
      <c r="AF260" s="0" t="s">
        <v>1536</v>
      </c>
      <c r="AG260" s="0" t="s">
        <v>46</v>
      </c>
      <c r="AH260" s="0" t="s">
        <v>46</v>
      </c>
      <c r="AI260" s="0" t="s">
        <v>46</v>
      </c>
      <c r="AJ260" s="0" t="s">
        <v>46</v>
      </c>
      <c r="AK260" s="0" t="s">
        <v>46</v>
      </c>
      <c r="AL260" s="0" t="s">
        <v>46</v>
      </c>
    </row>
    <row r="261" customFormat="false" ht="15" hidden="false" customHeight="false" outlineLevel="0" collapsed="false">
      <c r="B261" s="0" t="str">
        <f aca="false">HYPERLINK("https://genome.ucsc.edu/cgi-bin/hgTracks?db=hg19&amp;position=chr20%3A33762713%2D33762713", "chr20:33762713")</f>
        <v>chr20:33762713</v>
      </c>
      <c r="C261" s="0" t="s">
        <v>188</v>
      </c>
      <c r="D261" s="0" t="n">
        <v>33762713</v>
      </c>
      <c r="E261" s="0" t="n">
        <v>33762713</v>
      </c>
      <c r="F261" s="0" t="s">
        <v>39</v>
      </c>
      <c r="G261" s="0" t="s">
        <v>69</v>
      </c>
      <c r="H261" s="0" t="s">
        <v>1537</v>
      </c>
      <c r="I261" s="0" t="s">
        <v>689</v>
      </c>
      <c r="J261" s="0" t="s">
        <v>1538</v>
      </c>
      <c r="K261" s="0" t="s">
        <v>46</v>
      </c>
      <c r="L261" s="0" t="str">
        <f aca="false">HYPERLINK("https://www.ncbi.nlm.nih.gov/snp/rs199638108", "rs199638108")</f>
        <v>rs199638108</v>
      </c>
      <c r="M261" s="0" t="str">
        <f aca="false">HYPERLINK("https://www.genecards.org/Search/Keyword?queryString=%5Baliases%5D(%20PROCR%20)&amp;keywords=PROCR", "PROCR")</f>
        <v>PROCR</v>
      </c>
      <c r="N261" s="0" t="s">
        <v>98</v>
      </c>
      <c r="O261" s="0" t="s">
        <v>99</v>
      </c>
      <c r="P261" s="0" t="s">
        <v>1539</v>
      </c>
      <c r="Q261" s="0" t="n">
        <v>0.0037</v>
      </c>
      <c r="R261" s="0" t="n">
        <v>0.0003</v>
      </c>
      <c r="S261" s="0" t="n">
        <v>0.0002</v>
      </c>
      <c r="T261" s="0" t="n">
        <v>-1</v>
      </c>
      <c r="U261" s="0" t="n">
        <v>0.0005</v>
      </c>
      <c r="V261" s="0" t="s">
        <v>230</v>
      </c>
      <c r="W261" s="0" t="s">
        <v>46</v>
      </c>
      <c r="X261" s="0" t="s">
        <v>46</v>
      </c>
      <c r="Y261" s="0" t="s">
        <v>46</v>
      </c>
      <c r="Z261" s="0" t="s">
        <v>138</v>
      </c>
      <c r="AA261" s="0" t="s">
        <v>171</v>
      </c>
      <c r="AB261" s="0" t="s">
        <v>46</v>
      </c>
      <c r="AC261" s="0" t="s">
        <v>51</v>
      </c>
      <c r="AD261" s="0" t="s">
        <v>52</v>
      </c>
      <c r="AE261" s="0" t="s">
        <v>1540</v>
      </c>
      <c r="AF261" s="0" t="s">
        <v>1541</v>
      </c>
      <c r="AG261" s="0" t="s">
        <v>1542</v>
      </c>
      <c r="AH261" s="0" t="s">
        <v>46</v>
      </c>
      <c r="AI261" s="0" t="s">
        <v>46</v>
      </c>
      <c r="AJ261" s="0" t="s">
        <v>46</v>
      </c>
      <c r="AK261" s="0" t="s">
        <v>46</v>
      </c>
      <c r="AL261" s="0" t="s">
        <v>46</v>
      </c>
    </row>
    <row r="262" customFormat="false" ht="15" hidden="false" customHeight="false" outlineLevel="0" collapsed="false">
      <c r="B262" s="0" t="str">
        <f aca="false">HYPERLINK("https://genome.ucsc.edu/cgi-bin/hgTracks?db=hg19&amp;position=chr20%3A36869005%2D36869005", "chr20:36869005")</f>
        <v>chr20:36869005</v>
      </c>
      <c r="C262" s="0" t="s">
        <v>188</v>
      </c>
      <c r="D262" s="0" t="n">
        <v>36869005</v>
      </c>
      <c r="E262" s="0" t="n">
        <v>36869005</v>
      </c>
      <c r="F262" s="0" t="s">
        <v>69</v>
      </c>
      <c r="G262" s="0" t="s">
        <v>57</v>
      </c>
      <c r="H262" s="0" t="s">
        <v>1543</v>
      </c>
      <c r="I262" s="0" t="s">
        <v>872</v>
      </c>
      <c r="J262" s="0" t="s">
        <v>941</v>
      </c>
      <c r="K262" s="0" t="s">
        <v>46</v>
      </c>
      <c r="L262" s="0" t="str">
        <f aca="false">HYPERLINK("https://www.ncbi.nlm.nih.gov/snp/rs41282820", "rs41282820")</f>
        <v>rs41282820</v>
      </c>
      <c r="M262" s="0" t="str">
        <f aca="false">HYPERLINK("https://www.genecards.org/Search/Keyword?queryString=%5Baliases%5D(%20KIAA1755%20)&amp;keywords=KIAA1755", "KIAA1755")</f>
        <v>KIAA1755</v>
      </c>
      <c r="N262" s="0" t="s">
        <v>98</v>
      </c>
      <c r="O262" s="0" t="s">
        <v>371</v>
      </c>
      <c r="P262" s="0" t="s">
        <v>1544</v>
      </c>
      <c r="Q262" s="0" t="n">
        <v>0.0188</v>
      </c>
      <c r="R262" s="0" t="n">
        <v>0.0178</v>
      </c>
      <c r="S262" s="0" t="n">
        <v>0.0188</v>
      </c>
      <c r="T262" s="0" t="n">
        <v>-1</v>
      </c>
      <c r="U262" s="0" t="n">
        <v>0.019</v>
      </c>
      <c r="V262" s="0" t="s">
        <v>496</v>
      </c>
      <c r="W262" s="0" t="s">
        <v>46</v>
      </c>
      <c r="X262" s="0" t="s">
        <v>46</v>
      </c>
      <c r="Y262" s="0" t="s">
        <v>46</v>
      </c>
      <c r="Z262" s="0" t="s">
        <v>49</v>
      </c>
      <c r="AA262" s="0" t="s">
        <v>171</v>
      </c>
      <c r="AB262" s="0" t="s">
        <v>46</v>
      </c>
      <c r="AC262" s="0" t="s">
        <v>51</v>
      </c>
      <c r="AD262" s="0" t="s">
        <v>52</v>
      </c>
      <c r="AE262" s="0" t="s">
        <v>1545</v>
      </c>
      <c r="AF262" s="0" t="s">
        <v>1546</v>
      </c>
      <c r="AG262" s="0" t="s">
        <v>46</v>
      </c>
      <c r="AH262" s="0" t="s">
        <v>46</v>
      </c>
      <c r="AI262" s="0" t="s">
        <v>46</v>
      </c>
      <c r="AJ262" s="0" t="s">
        <v>46</v>
      </c>
      <c r="AK262" s="0" t="s">
        <v>46</v>
      </c>
      <c r="AL262" s="0" t="s">
        <v>46</v>
      </c>
    </row>
    <row r="263" customFormat="false" ht="15" hidden="false" customHeight="false" outlineLevel="0" collapsed="false">
      <c r="B263" s="0" t="str">
        <f aca="false">HYPERLINK("https://genome.ucsc.edu/cgi-bin/hgTracks?db=hg19&amp;position=chr20%3A37547022%2D37547022", "chr20:37547022")</f>
        <v>chr20:37547022</v>
      </c>
      <c r="C263" s="0" t="s">
        <v>188</v>
      </c>
      <c r="D263" s="0" t="n">
        <v>37547022</v>
      </c>
      <c r="E263" s="0" t="n">
        <v>37547022</v>
      </c>
      <c r="F263" s="0" t="s">
        <v>57</v>
      </c>
      <c r="G263" s="0" t="s">
        <v>39</v>
      </c>
      <c r="H263" s="0" t="s">
        <v>1547</v>
      </c>
      <c r="I263" s="0" t="s">
        <v>220</v>
      </c>
      <c r="J263" s="0" t="s">
        <v>1350</v>
      </c>
      <c r="K263" s="0" t="s">
        <v>46</v>
      </c>
      <c r="L263" s="0" t="str">
        <f aca="false">HYPERLINK("https://www.ncbi.nlm.nih.gov/snp/rs61752055", "rs61752055")</f>
        <v>rs61752055</v>
      </c>
      <c r="M263" s="0" t="str">
        <f aca="false">HYPERLINK("https://www.genecards.org/Search/Keyword?queryString=%5Baliases%5D(%20PPP1R16B%20)&amp;keywords=PPP1R16B", "PPP1R16B")</f>
        <v>PPP1R16B</v>
      </c>
      <c r="N263" s="0" t="s">
        <v>98</v>
      </c>
      <c r="O263" s="0" t="s">
        <v>99</v>
      </c>
      <c r="P263" s="0" t="s">
        <v>1548</v>
      </c>
      <c r="Q263" s="0" t="n">
        <v>0.0099</v>
      </c>
      <c r="R263" s="0" t="n">
        <v>0.0084</v>
      </c>
      <c r="S263" s="0" t="n">
        <v>0.0089</v>
      </c>
      <c r="T263" s="0" t="n">
        <v>-1</v>
      </c>
      <c r="U263" s="0" t="n">
        <v>0.0089</v>
      </c>
      <c r="V263" s="0" t="s">
        <v>215</v>
      </c>
      <c r="W263" s="0" t="s">
        <v>46</v>
      </c>
      <c r="X263" s="0" t="s">
        <v>46</v>
      </c>
      <c r="Y263" s="0" t="s">
        <v>46</v>
      </c>
      <c r="Z263" s="0" t="s">
        <v>102</v>
      </c>
      <c r="AA263" s="0" t="s">
        <v>171</v>
      </c>
      <c r="AB263" s="0" t="s">
        <v>46</v>
      </c>
      <c r="AC263" s="0" t="s">
        <v>51</v>
      </c>
      <c r="AD263" s="0" t="s">
        <v>52</v>
      </c>
      <c r="AE263" s="0" t="s">
        <v>1549</v>
      </c>
      <c r="AF263" s="0" t="s">
        <v>1550</v>
      </c>
      <c r="AG263" s="0" t="s">
        <v>1551</v>
      </c>
      <c r="AH263" s="0" t="s">
        <v>46</v>
      </c>
      <c r="AI263" s="0" t="s">
        <v>46</v>
      </c>
      <c r="AJ263" s="0" t="s">
        <v>46</v>
      </c>
      <c r="AK263" s="0" t="s">
        <v>46</v>
      </c>
      <c r="AL263" s="0" t="s">
        <v>46</v>
      </c>
    </row>
    <row r="264" customFormat="false" ht="15" hidden="false" customHeight="false" outlineLevel="0" collapsed="false">
      <c r="B264" s="0" t="str">
        <f aca="false">HYPERLINK("https://genome.ucsc.edu/cgi-bin/hgTracks?db=hg19&amp;position=chr20%3A37580670%2D37580670", "chr20:37580670")</f>
        <v>chr20:37580670</v>
      </c>
      <c r="C264" s="0" t="s">
        <v>188</v>
      </c>
      <c r="D264" s="0" t="n">
        <v>37580670</v>
      </c>
      <c r="E264" s="0" t="n">
        <v>37580670</v>
      </c>
      <c r="F264" s="0" t="s">
        <v>39</v>
      </c>
      <c r="G264" s="0" t="s">
        <v>69</v>
      </c>
      <c r="H264" s="0" t="s">
        <v>1552</v>
      </c>
      <c r="I264" s="0" t="s">
        <v>166</v>
      </c>
      <c r="J264" s="0" t="s">
        <v>1553</v>
      </c>
      <c r="K264" s="0" t="s">
        <v>46</v>
      </c>
      <c r="L264" s="0" t="str">
        <f aca="false">HYPERLINK("https://www.ncbi.nlm.nih.gov/snp/rs41276984", "rs41276984")</f>
        <v>rs41276984</v>
      </c>
      <c r="M264" s="0" t="str">
        <f aca="false">HYPERLINK("https://www.genecards.org/Search/Keyword?queryString=%5Baliases%5D(%20FAM83D%20)&amp;keywords=FAM83D", "FAM83D")</f>
        <v>FAM83D</v>
      </c>
      <c r="N264" s="0" t="s">
        <v>98</v>
      </c>
      <c r="O264" s="0" t="s">
        <v>99</v>
      </c>
      <c r="P264" s="0" t="s">
        <v>1554</v>
      </c>
      <c r="Q264" s="0" t="n">
        <v>0.0248</v>
      </c>
      <c r="R264" s="0" t="n">
        <v>0.0258</v>
      </c>
      <c r="S264" s="0" t="n">
        <v>0.025</v>
      </c>
      <c r="T264" s="0" t="n">
        <v>-1</v>
      </c>
      <c r="U264" s="0" t="n">
        <v>0.0306</v>
      </c>
      <c r="V264" s="0" t="s">
        <v>148</v>
      </c>
      <c r="W264" s="0" t="s">
        <v>46</v>
      </c>
      <c r="X264" s="0" t="s">
        <v>46</v>
      </c>
      <c r="Y264" s="0" t="s">
        <v>46</v>
      </c>
      <c r="Z264" s="0" t="s">
        <v>159</v>
      </c>
      <c r="AA264" s="0" t="s">
        <v>171</v>
      </c>
      <c r="AB264" s="0" t="s">
        <v>46</v>
      </c>
      <c r="AC264" s="0" t="s">
        <v>51</v>
      </c>
      <c r="AD264" s="0" t="s">
        <v>52</v>
      </c>
      <c r="AE264" s="0" t="s">
        <v>1555</v>
      </c>
      <c r="AF264" s="0" t="s">
        <v>1556</v>
      </c>
      <c r="AG264" s="0" t="s">
        <v>1557</v>
      </c>
      <c r="AH264" s="0" t="s">
        <v>46</v>
      </c>
      <c r="AI264" s="0" t="s">
        <v>46</v>
      </c>
      <c r="AJ264" s="0" t="s">
        <v>46</v>
      </c>
      <c r="AK264" s="0" t="s">
        <v>46</v>
      </c>
      <c r="AL264" s="0" t="s">
        <v>46</v>
      </c>
    </row>
    <row r="265" customFormat="false" ht="15" hidden="false" customHeight="false" outlineLevel="0" collapsed="false">
      <c r="B265" s="0" t="str">
        <f aca="false">HYPERLINK("https://genome.ucsc.edu/cgi-bin/hgTracks?db=hg19&amp;position=chr20%3A40033295%2D40033295", "chr20:40033295")</f>
        <v>chr20:40033295</v>
      </c>
      <c r="C265" s="0" t="s">
        <v>188</v>
      </c>
      <c r="D265" s="0" t="n">
        <v>40033295</v>
      </c>
      <c r="E265" s="0" t="n">
        <v>40033295</v>
      </c>
      <c r="F265" s="0" t="s">
        <v>40</v>
      </c>
      <c r="G265" s="0" t="s">
        <v>39</v>
      </c>
      <c r="H265" s="0" t="s">
        <v>1558</v>
      </c>
      <c r="I265" s="0" t="s">
        <v>624</v>
      </c>
      <c r="J265" s="0" t="s">
        <v>1559</v>
      </c>
      <c r="K265" s="0" t="s">
        <v>46</v>
      </c>
      <c r="L265" s="0" t="str">
        <f aca="false">HYPERLINK("https://www.ncbi.nlm.nih.gov/snp/rs200359247", "rs200359247")</f>
        <v>rs200359247</v>
      </c>
      <c r="M265" s="0" t="str">
        <f aca="false">HYPERLINK("https://www.genecards.org/Search/Keyword?queryString=%5Baliases%5D(%20CHD6%20)&amp;keywords=CHD6", "CHD6")</f>
        <v>CHD6</v>
      </c>
      <c r="N265" s="0" t="s">
        <v>98</v>
      </c>
      <c r="O265" s="0" t="s">
        <v>99</v>
      </c>
      <c r="P265" s="0" t="s">
        <v>1560</v>
      </c>
      <c r="Q265" s="0" t="n">
        <v>0.0037</v>
      </c>
      <c r="R265" s="0" t="n">
        <v>0.003</v>
      </c>
      <c r="S265" s="0" t="n">
        <v>0.0024</v>
      </c>
      <c r="T265" s="0" t="n">
        <v>-1</v>
      </c>
      <c r="U265" s="0" t="n">
        <v>0.0054</v>
      </c>
      <c r="V265" s="0" t="s">
        <v>230</v>
      </c>
      <c r="W265" s="0" t="s">
        <v>46</v>
      </c>
      <c r="X265" s="0" t="s">
        <v>46</v>
      </c>
      <c r="Y265" s="0" t="s">
        <v>46</v>
      </c>
      <c r="Z265" s="0" t="s">
        <v>138</v>
      </c>
      <c r="AA265" s="0" t="s">
        <v>171</v>
      </c>
      <c r="AB265" s="0" t="s">
        <v>46</v>
      </c>
      <c r="AC265" s="0" t="s">
        <v>51</v>
      </c>
      <c r="AD265" s="0" t="s">
        <v>856</v>
      </c>
      <c r="AE265" s="0" t="s">
        <v>1561</v>
      </c>
      <c r="AF265" s="0" t="s">
        <v>1562</v>
      </c>
      <c r="AG265" s="0" t="s">
        <v>1563</v>
      </c>
      <c r="AH265" s="0" t="s">
        <v>46</v>
      </c>
      <c r="AI265" s="0" t="s">
        <v>46</v>
      </c>
      <c r="AJ265" s="0" t="s">
        <v>46</v>
      </c>
      <c r="AK265" s="0" t="s">
        <v>46</v>
      </c>
      <c r="AL265" s="0" t="s">
        <v>46</v>
      </c>
    </row>
    <row r="266" customFormat="false" ht="15" hidden="false" customHeight="false" outlineLevel="0" collapsed="false">
      <c r="B266" s="0" t="str">
        <f aca="false">HYPERLINK("https://genome.ucsc.edu/cgi-bin/hgTracks?db=hg19&amp;position=chr20%3A60892450%2D60892450", "chr20:60892450")</f>
        <v>chr20:60892450</v>
      </c>
      <c r="C266" s="0" t="s">
        <v>188</v>
      </c>
      <c r="D266" s="0" t="n">
        <v>60892450</v>
      </c>
      <c r="E266" s="0" t="n">
        <v>60892450</v>
      </c>
      <c r="F266" s="0" t="s">
        <v>39</v>
      </c>
      <c r="G266" s="0" t="s">
        <v>40</v>
      </c>
      <c r="H266" s="0" t="s">
        <v>1564</v>
      </c>
      <c r="I266" s="0" t="s">
        <v>379</v>
      </c>
      <c r="J266" s="0" t="s">
        <v>661</v>
      </c>
      <c r="K266" s="0" t="s">
        <v>46</v>
      </c>
      <c r="L266" s="0" t="str">
        <f aca="false">HYPERLINK("https://www.ncbi.nlm.nih.gov/snp/rs148169370", "rs148169370")</f>
        <v>rs148169370</v>
      </c>
      <c r="M266" s="0" t="str">
        <f aca="false">HYPERLINK("https://www.genecards.org/Search/Keyword?queryString=%5Baliases%5D(%20LAMA5%20)&amp;keywords=LAMA5", "LAMA5")</f>
        <v>LAMA5</v>
      </c>
      <c r="N266" s="0" t="s">
        <v>98</v>
      </c>
      <c r="O266" s="0" t="s">
        <v>99</v>
      </c>
      <c r="P266" s="0" t="s">
        <v>1565</v>
      </c>
      <c r="Q266" s="0" t="n">
        <v>0.025862</v>
      </c>
      <c r="R266" s="0" t="n">
        <v>0.0291</v>
      </c>
      <c r="S266" s="0" t="n">
        <v>0.0256</v>
      </c>
      <c r="T266" s="0" t="n">
        <v>-1</v>
      </c>
      <c r="U266" s="0" t="n">
        <v>0.041</v>
      </c>
      <c r="V266" s="0" t="s">
        <v>1332</v>
      </c>
      <c r="W266" s="0" t="s">
        <v>46</v>
      </c>
      <c r="X266" s="0" t="s">
        <v>46</v>
      </c>
      <c r="Y266" s="0" t="s">
        <v>46</v>
      </c>
      <c r="Z266" s="0" t="s">
        <v>138</v>
      </c>
      <c r="AA266" s="0" t="s">
        <v>171</v>
      </c>
      <c r="AB266" s="0" t="s">
        <v>46</v>
      </c>
      <c r="AC266" s="0" t="s">
        <v>51</v>
      </c>
      <c r="AD266" s="0" t="s">
        <v>52</v>
      </c>
      <c r="AE266" s="0" t="s">
        <v>1566</v>
      </c>
      <c r="AF266" s="0" t="s">
        <v>1567</v>
      </c>
      <c r="AG266" s="0" t="s">
        <v>1328</v>
      </c>
      <c r="AH266" s="0" t="s">
        <v>46</v>
      </c>
      <c r="AI266" s="0" t="s">
        <v>46</v>
      </c>
      <c r="AJ266" s="0" t="s">
        <v>46</v>
      </c>
      <c r="AK266" s="0" t="s">
        <v>46</v>
      </c>
      <c r="AL266" s="0" t="s">
        <v>46</v>
      </c>
    </row>
    <row r="267" customFormat="false" ht="15" hidden="false" customHeight="false" outlineLevel="0" collapsed="false">
      <c r="B267" s="0" t="str">
        <f aca="false">HYPERLINK("https://genome.ucsc.edu/cgi-bin/hgTracks?db=hg19&amp;position=chr20%3A61492458%2D61492458", "chr20:61492458")</f>
        <v>chr20:61492458</v>
      </c>
      <c r="C267" s="0" t="s">
        <v>188</v>
      </c>
      <c r="D267" s="0" t="n">
        <v>61492458</v>
      </c>
      <c r="E267" s="0" t="n">
        <v>61492458</v>
      </c>
      <c r="F267" s="0" t="s">
        <v>39</v>
      </c>
      <c r="G267" s="0" t="s">
        <v>40</v>
      </c>
      <c r="H267" s="0" t="s">
        <v>1568</v>
      </c>
      <c r="I267" s="0" t="s">
        <v>547</v>
      </c>
      <c r="J267" s="0" t="s">
        <v>1569</v>
      </c>
      <c r="K267" s="0" t="s">
        <v>46</v>
      </c>
      <c r="L267" s="0" t="str">
        <f aca="false">HYPERLINK("https://www.ncbi.nlm.nih.gov/snp/rs903424670", "rs903424670")</f>
        <v>rs903424670</v>
      </c>
      <c r="M267" s="0" t="str">
        <f aca="false">HYPERLINK("https://www.genecards.org/Search/Keyword?queryString=%5Baliases%5D(%20TCFL5%20)&amp;keywords=TCFL5", "TCFL5")</f>
        <v>TCFL5</v>
      </c>
      <c r="N267" s="0" t="s">
        <v>98</v>
      </c>
      <c r="O267" s="0" t="s">
        <v>99</v>
      </c>
      <c r="P267" s="0" t="s">
        <v>1570</v>
      </c>
      <c r="Q267" s="0" t="n">
        <v>0.00574058</v>
      </c>
      <c r="R267" s="0" t="n">
        <v>0.001</v>
      </c>
      <c r="S267" s="0" t="n">
        <v>0.0013</v>
      </c>
      <c r="T267" s="0" t="n">
        <v>-1</v>
      </c>
      <c r="U267" s="0" t="n">
        <v>0.0005</v>
      </c>
      <c r="V267" s="0" t="s">
        <v>314</v>
      </c>
      <c r="W267" s="0" t="s">
        <v>46</v>
      </c>
      <c r="X267" s="0" t="s">
        <v>46</v>
      </c>
      <c r="Y267" s="0" t="s">
        <v>46</v>
      </c>
      <c r="Z267" s="0" t="s">
        <v>159</v>
      </c>
      <c r="AA267" s="0" t="s">
        <v>171</v>
      </c>
      <c r="AB267" s="0" t="s">
        <v>46</v>
      </c>
      <c r="AC267" s="0" t="s">
        <v>51</v>
      </c>
      <c r="AD267" s="0" t="s">
        <v>52</v>
      </c>
      <c r="AE267" s="0" t="s">
        <v>1571</v>
      </c>
      <c r="AF267" s="0" t="s">
        <v>1572</v>
      </c>
      <c r="AG267" s="0" t="s">
        <v>1573</v>
      </c>
      <c r="AH267" s="0" t="s">
        <v>46</v>
      </c>
      <c r="AI267" s="0" t="s">
        <v>46</v>
      </c>
      <c r="AJ267" s="0" t="s">
        <v>46</v>
      </c>
      <c r="AK267" s="0" t="s">
        <v>46</v>
      </c>
      <c r="AL267" s="0" t="s">
        <v>46</v>
      </c>
    </row>
    <row r="268" customFormat="false" ht="15" hidden="false" customHeight="false" outlineLevel="0" collapsed="false">
      <c r="B268" s="0" t="str">
        <f aca="false">HYPERLINK("https://genome.ucsc.edu/cgi-bin/hgTracks?db=hg19&amp;position=chr20%3A62331823%2D62331823", "chr20:62331823")</f>
        <v>chr20:62331823</v>
      </c>
      <c r="C268" s="0" t="s">
        <v>188</v>
      </c>
      <c r="D268" s="0" t="n">
        <v>62331823</v>
      </c>
      <c r="E268" s="0" t="n">
        <v>62331823</v>
      </c>
      <c r="F268" s="0" t="s">
        <v>39</v>
      </c>
      <c r="G268" s="0" t="s">
        <v>57</v>
      </c>
      <c r="H268" s="0" t="s">
        <v>1574</v>
      </c>
      <c r="I268" s="0" t="s">
        <v>427</v>
      </c>
      <c r="J268" s="0" t="s">
        <v>1575</v>
      </c>
      <c r="K268" s="0" t="s">
        <v>46</v>
      </c>
      <c r="L268" s="0" t="str">
        <f aca="false">HYPERLINK("https://www.ncbi.nlm.nih.gov/snp/rs763805240", "rs763805240")</f>
        <v>rs763805240</v>
      </c>
      <c r="M268" s="0" t="str">
        <f aca="false">HYPERLINK("https://www.genecards.org/Search/Keyword?queryString=%5Baliases%5D(%20ARFRP1%20)&amp;keywords=ARFRP1", "ARFRP1")</f>
        <v>ARFRP1</v>
      </c>
      <c r="N268" s="0" t="s">
        <v>98</v>
      </c>
      <c r="O268" s="0" t="s">
        <v>99</v>
      </c>
      <c r="P268" s="0" t="s">
        <v>1576</v>
      </c>
      <c r="Q268" s="0" t="n">
        <v>7.185E-005</v>
      </c>
      <c r="R268" s="0" t="n">
        <v>9.029E-005</v>
      </c>
      <c r="S268" s="0" t="n">
        <v>-1</v>
      </c>
      <c r="T268" s="0" t="n">
        <v>-1</v>
      </c>
      <c r="U268" s="0" t="n">
        <v>-1</v>
      </c>
      <c r="V268" s="0" t="s">
        <v>1149</v>
      </c>
      <c r="W268" s="0" t="s">
        <v>46</v>
      </c>
      <c r="X268" s="0" t="s">
        <v>46</v>
      </c>
      <c r="Y268" s="0" t="s">
        <v>46</v>
      </c>
      <c r="Z268" s="0" t="s">
        <v>138</v>
      </c>
      <c r="AA268" s="0" t="s">
        <v>171</v>
      </c>
      <c r="AB268" s="0" t="s">
        <v>46</v>
      </c>
      <c r="AC268" s="0" t="s">
        <v>51</v>
      </c>
      <c r="AD268" s="0" t="s">
        <v>52</v>
      </c>
      <c r="AE268" s="0" t="s">
        <v>1577</v>
      </c>
      <c r="AF268" s="0" t="s">
        <v>1578</v>
      </c>
      <c r="AG268" s="0" t="s">
        <v>1579</v>
      </c>
      <c r="AH268" s="0" t="s">
        <v>46</v>
      </c>
      <c r="AI268" s="0" t="s">
        <v>46</v>
      </c>
      <c r="AJ268" s="0" t="s">
        <v>46</v>
      </c>
      <c r="AK268" s="0" t="s">
        <v>46</v>
      </c>
      <c r="AL268" s="0" t="s">
        <v>46</v>
      </c>
    </row>
    <row r="269" customFormat="false" ht="15" hidden="false" customHeight="false" outlineLevel="0" collapsed="false">
      <c r="B269" s="0" t="str">
        <f aca="false">HYPERLINK("https://genome.ucsc.edu/cgi-bin/hgTracks?db=hg19&amp;position=chr20%3A62607179%2D62607179", "chr20:62607179")</f>
        <v>chr20:62607179</v>
      </c>
      <c r="C269" s="0" t="s">
        <v>188</v>
      </c>
      <c r="D269" s="0" t="n">
        <v>62607179</v>
      </c>
      <c r="E269" s="0" t="n">
        <v>62607179</v>
      </c>
      <c r="F269" s="0" t="s">
        <v>69</v>
      </c>
      <c r="G269" s="0" t="s">
        <v>57</v>
      </c>
      <c r="H269" s="0" t="s">
        <v>1580</v>
      </c>
      <c r="I269" s="0" t="s">
        <v>1032</v>
      </c>
      <c r="J269" s="0" t="s">
        <v>1581</v>
      </c>
      <c r="K269" s="0" t="s">
        <v>46</v>
      </c>
      <c r="L269" s="0" t="str">
        <f aca="false">HYPERLINK("https://www.ncbi.nlm.nih.gov/snp/rs113166910", "rs113166910")</f>
        <v>rs113166910</v>
      </c>
      <c r="M269" s="0" t="str">
        <f aca="false">HYPERLINK("https://www.genecards.org/Search/Keyword?queryString=%5Baliases%5D(%20SAMD10%20)&amp;keywords=SAMD10", "SAMD10")</f>
        <v>SAMD10</v>
      </c>
      <c r="N269" s="0" t="s">
        <v>98</v>
      </c>
      <c r="O269" s="0" t="s">
        <v>99</v>
      </c>
      <c r="P269" s="0" t="s">
        <v>1582</v>
      </c>
      <c r="Q269" s="0" t="n">
        <v>0.0155</v>
      </c>
      <c r="R269" s="0" t="n">
        <v>0.0165</v>
      </c>
      <c r="S269" s="0" t="n">
        <v>0.0158</v>
      </c>
      <c r="T269" s="0" t="n">
        <v>-1</v>
      </c>
      <c r="U269" s="0" t="n">
        <v>0.0227</v>
      </c>
      <c r="V269" s="0" t="s">
        <v>663</v>
      </c>
      <c r="W269" s="0" t="s">
        <v>46</v>
      </c>
      <c r="X269" s="0" t="s">
        <v>46</v>
      </c>
      <c r="Y269" s="0" t="s">
        <v>46</v>
      </c>
      <c r="Z269" s="0" t="s">
        <v>159</v>
      </c>
      <c r="AA269" s="0" t="s">
        <v>171</v>
      </c>
      <c r="AB269" s="0" t="s">
        <v>46</v>
      </c>
      <c r="AC269" s="0" t="s">
        <v>51</v>
      </c>
      <c r="AD269" s="0" t="s">
        <v>52</v>
      </c>
      <c r="AE269" s="0" t="s">
        <v>1583</v>
      </c>
      <c r="AF269" s="0" t="s">
        <v>1584</v>
      </c>
      <c r="AG269" s="0" t="s">
        <v>46</v>
      </c>
      <c r="AH269" s="0" t="s">
        <v>46</v>
      </c>
      <c r="AI269" s="0" t="s">
        <v>46</v>
      </c>
      <c r="AJ269" s="0" t="s">
        <v>46</v>
      </c>
      <c r="AK269" s="0" t="s">
        <v>46</v>
      </c>
      <c r="AL269" s="0" t="s">
        <v>46</v>
      </c>
    </row>
    <row r="270" customFormat="false" ht="15" hidden="false" customHeight="false" outlineLevel="0" collapsed="false">
      <c r="B270" s="0" t="str">
        <f aca="false">HYPERLINK("https://genome.ucsc.edu/cgi-bin/hgTracks?db=hg19&amp;position=chr21%3A35468605%2D35468605", "chr21:35468605")</f>
        <v>chr21:35468605</v>
      </c>
      <c r="C270" s="0" t="s">
        <v>1585</v>
      </c>
      <c r="D270" s="0" t="n">
        <v>35468605</v>
      </c>
      <c r="E270" s="0" t="n">
        <v>35468605</v>
      </c>
      <c r="F270" s="0" t="s">
        <v>69</v>
      </c>
      <c r="G270" s="0" t="s">
        <v>57</v>
      </c>
      <c r="H270" s="0" t="s">
        <v>1586</v>
      </c>
      <c r="I270" s="0" t="s">
        <v>611</v>
      </c>
      <c r="J270" s="0" t="s">
        <v>1587</v>
      </c>
      <c r="K270" s="0" t="s">
        <v>46</v>
      </c>
      <c r="L270" s="0" t="str">
        <f aca="false">HYPERLINK("https://www.ncbi.nlm.nih.gov/snp/rs35707420", "rs35707420")</f>
        <v>rs35707420</v>
      </c>
      <c r="M270" s="0" t="str">
        <f aca="false">HYPERLINK("https://www.genecards.org/Search/Keyword?queryString=%5Baliases%5D(%20SLC5A3%20)&amp;keywords=SLC5A3", "SLC5A3")</f>
        <v>SLC5A3</v>
      </c>
      <c r="N270" s="0" t="s">
        <v>98</v>
      </c>
      <c r="O270" s="0" t="s">
        <v>99</v>
      </c>
      <c r="P270" s="0" t="s">
        <v>1588</v>
      </c>
      <c r="Q270" s="0" t="n">
        <v>0.0112</v>
      </c>
      <c r="R270" s="0" t="n">
        <v>0.0125</v>
      </c>
      <c r="S270" s="0" t="n">
        <v>0.0113</v>
      </c>
      <c r="T270" s="0" t="n">
        <v>-1</v>
      </c>
      <c r="U270" s="0" t="n">
        <v>0.0168</v>
      </c>
      <c r="V270" s="0" t="s">
        <v>515</v>
      </c>
      <c r="W270" s="0" t="s">
        <v>46</v>
      </c>
      <c r="X270" s="0" t="s">
        <v>46</v>
      </c>
      <c r="Y270" s="0" t="s">
        <v>46</v>
      </c>
      <c r="Z270" s="0" t="s">
        <v>481</v>
      </c>
      <c r="AA270" s="0" t="s">
        <v>171</v>
      </c>
      <c r="AB270" s="0" t="s">
        <v>46</v>
      </c>
      <c r="AC270" s="0" t="s">
        <v>51</v>
      </c>
      <c r="AD270" s="0" t="s">
        <v>52</v>
      </c>
      <c r="AE270" s="0" t="s">
        <v>1589</v>
      </c>
      <c r="AF270" s="0" t="s">
        <v>1590</v>
      </c>
      <c r="AG270" s="0" t="s">
        <v>1591</v>
      </c>
      <c r="AH270" s="0" t="s">
        <v>46</v>
      </c>
      <c r="AI270" s="0" t="s">
        <v>46</v>
      </c>
      <c r="AJ270" s="0" t="s">
        <v>46</v>
      </c>
      <c r="AK270" s="0" t="s">
        <v>46</v>
      </c>
      <c r="AL270" s="0" t="s">
        <v>46</v>
      </c>
    </row>
    <row r="271" customFormat="false" ht="15" hidden="false" customHeight="false" outlineLevel="0" collapsed="false">
      <c r="B271" s="0" t="str">
        <f aca="false">HYPERLINK("https://genome.ucsc.edu/cgi-bin/hgTracks?db=hg19&amp;position=chr21%3A40795339%2D40795339", "chr21:40795339")</f>
        <v>chr21:40795339</v>
      </c>
      <c r="C271" s="0" t="s">
        <v>1585</v>
      </c>
      <c r="D271" s="0" t="n">
        <v>40795339</v>
      </c>
      <c r="E271" s="0" t="n">
        <v>40795339</v>
      </c>
      <c r="F271" s="0" t="s">
        <v>69</v>
      </c>
      <c r="G271" s="0" t="s">
        <v>39</v>
      </c>
      <c r="H271" s="0" t="s">
        <v>1102</v>
      </c>
      <c r="I271" s="0" t="s">
        <v>413</v>
      </c>
      <c r="J271" s="0" t="s">
        <v>414</v>
      </c>
      <c r="K271" s="0" t="s">
        <v>46</v>
      </c>
      <c r="L271" s="0" t="s">
        <v>46</v>
      </c>
      <c r="M271" s="0" t="str">
        <f aca="false">HYPERLINK("https://www.genecards.org/Search/Keyword?queryString=%5Baliases%5D(%20LCA5L%20)&amp;keywords=LCA5L", "LCA5L")</f>
        <v>LCA5L</v>
      </c>
      <c r="N271" s="0" t="s">
        <v>98</v>
      </c>
      <c r="O271" s="0" t="s">
        <v>99</v>
      </c>
      <c r="P271" s="0" t="s">
        <v>1592</v>
      </c>
      <c r="Q271" s="0" t="n">
        <v>-1</v>
      </c>
      <c r="R271" s="0" t="n">
        <v>-1</v>
      </c>
      <c r="S271" s="0" t="n">
        <v>-1</v>
      </c>
      <c r="T271" s="0" t="n">
        <v>-1</v>
      </c>
      <c r="U271" s="0" t="n">
        <v>-1</v>
      </c>
      <c r="V271" s="0" t="s">
        <v>600</v>
      </c>
      <c r="W271" s="0" t="s">
        <v>46</v>
      </c>
      <c r="X271" s="0" t="s">
        <v>46</v>
      </c>
      <c r="Y271" s="0" t="s">
        <v>46</v>
      </c>
      <c r="Z271" s="0" t="s">
        <v>49</v>
      </c>
      <c r="AA271" s="0" t="s">
        <v>171</v>
      </c>
      <c r="AB271" s="0" t="s">
        <v>46</v>
      </c>
      <c r="AC271" s="0" t="s">
        <v>51</v>
      </c>
      <c r="AD271" s="0" t="s">
        <v>52</v>
      </c>
      <c r="AE271" s="0" t="s">
        <v>1593</v>
      </c>
      <c r="AF271" s="0" t="s">
        <v>1594</v>
      </c>
      <c r="AG271" s="0" t="s">
        <v>46</v>
      </c>
      <c r="AH271" s="0" t="s">
        <v>46</v>
      </c>
      <c r="AI271" s="0" t="s">
        <v>46</v>
      </c>
      <c r="AJ271" s="0" t="s">
        <v>46</v>
      </c>
      <c r="AK271" s="0" t="s">
        <v>46</v>
      </c>
      <c r="AL271" s="0" t="s">
        <v>46</v>
      </c>
    </row>
    <row r="272" customFormat="false" ht="15" hidden="false" customHeight="false" outlineLevel="0" collapsed="false">
      <c r="B272" s="0" t="str">
        <f aca="false">HYPERLINK("https://genome.ucsc.edu/cgi-bin/hgTracks?db=hg19&amp;position=chr21%3A43413219%2D43413219", "chr21:43413219")</f>
        <v>chr21:43413219</v>
      </c>
      <c r="C272" s="0" t="s">
        <v>1585</v>
      </c>
      <c r="D272" s="0" t="n">
        <v>43413219</v>
      </c>
      <c r="E272" s="0" t="n">
        <v>43413219</v>
      </c>
      <c r="F272" s="0" t="s">
        <v>57</v>
      </c>
      <c r="G272" s="0" t="s">
        <v>69</v>
      </c>
      <c r="H272" s="0" t="s">
        <v>1595</v>
      </c>
      <c r="I272" s="0" t="s">
        <v>400</v>
      </c>
      <c r="J272" s="0" t="s">
        <v>1596</v>
      </c>
      <c r="K272" s="0" t="s">
        <v>46</v>
      </c>
      <c r="L272" s="0" t="str">
        <f aca="false">HYPERLINK("https://www.ncbi.nlm.nih.gov/snp/rs149159484", "rs149159484")</f>
        <v>rs149159484</v>
      </c>
      <c r="M272" s="0" t="str">
        <f aca="false">HYPERLINK("https://www.genecards.org/Search/Keyword?queryString=%5Baliases%5D(%20ZBTB21%20)&amp;keywords=ZBTB21", "ZBTB21")</f>
        <v>ZBTB21</v>
      </c>
      <c r="N272" s="0" t="s">
        <v>98</v>
      </c>
      <c r="O272" s="0" t="s">
        <v>99</v>
      </c>
      <c r="P272" s="0" t="s">
        <v>1597</v>
      </c>
      <c r="Q272" s="0" t="n">
        <v>0.008621</v>
      </c>
      <c r="R272" s="0" t="n">
        <v>0.0057</v>
      </c>
      <c r="S272" s="0" t="n">
        <v>0.0048</v>
      </c>
      <c r="T272" s="0" t="n">
        <v>-1</v>
      </c>
      <c r="U272" s="0" t="n">
        <v>0.0103</v>
      </c>
      <c r="V272" s="0" t="s">
        <v>170</v>
      </c>
      <c r="W272" s="0" t="s">
        <v>46</v>
      </c>
      <c r="X272" s="0" t="s">
        <v>46</v>
      </c>
      <c r="Y272" s="0" t="s">
        <v>46</v>
      </c>
      <c r="Z272" s="0" t="s">
        <v>183</v>
      </c>
      <c r="AA272" s="0" t="s">
        <v>171</v>
      </c>
      <c r="AB272" s="0" t="s">
        <v>46</v>
      </c>
      <c r="AC272" s="0" t="s">
        <v>51</v>
      </c>
      <c r="AD272" s="0" t="s">
        <v>52</v>
      </c>
      <c r="AE272" s="0" t="s">
        <v>1598</v>
      </c>
      <c r="AF272" s="0" t="s">
        <v>1599</v>
      </c>
      <c r="AG272" s="0" t="s">
        <v>1600</v>
      </c>
      <c r="AH272" s="0" t="s">
        <v>46</v>
      </c>
      <c r="AI272" s="0" t="s">
        <v>46</v>
      </c>
      <c r="AJ272" s="0" t="s">
        <v>46</v>
      </c>
      <c r="AK272" s="0" t="s">
        <v>46</v>
      </c>
      <c r="AL272" s="0" t="s">
        <v>46</v>
      </c>
    </row>
    <row r="273" customFormat="false" ht="15" hidden="false" customHeight="false" outlineLevel="0" collapsed="false">
      <c r="B273" s="0" t="str">
        <f aca="false">HYPERLINK("https://genome.ucsc.edu/cgi-bin/hgTracks?db=hg19&amp;position=chr22%3A24225971%2D24225971", "chr22:24225971")</f>
        <v>chr22:24225971</v>
      </c>
      <c r="C273" s="0" t="s">
        <v>391</v>
      </c>
      <c r="D273" s="0" t="n">
        <v>24225971</v>
      </c>
      <c r="E273" s="0" t="n">
        <v>24225971</v>
      </c>
      <c r="F273" s="0" t="s">
        <v>69</v>
      </c>
      <c r="G273" s="0" t="s">
        <v>57</v>
      </c>
      <c r="H273" s="0" t="s">
        <v>1601</v>
      </c>
      <c r="I273" s="0" t="s">
        <v>689</v>
      </c>
      <c r="J273" s="0" t="s">
        <v>1602</v>
      </c>
      <c r="K273" s="0" t="s">
        <v>46</v>
      </c>
      <c r="L273" s="0" t="str">
        <f aca="false">HYPERLINK("https://www.ncbi.nlm.nih.gov/snp/rs79905160", "rs79905160")</f>
        <v>rs79905160</v>
      </c>
      <c r="M273" s="0" t="str">
        <f aca="false">HYPERLINK("https://www.genecards.org/Search/Keyword?queryString=%5Baliases%5D(%20SLC2A11%20)&amp;keywords=SLC2A11", "SLC2A11")</f>
        <v>SLC2A11</v>
      </c>
      <c r="N273" s="0" t="s">
        <v>98</v>
      </c>
      <c r="O273" s="0" t="s">
        <v>99</v>
      </c>
      <c r="P273" s="0" t="s">
        <v>1603</v>
      </c>
      <c r="Q273" s="0" t="n">
        <v>0.01087</v>
      </c>
      <c r="R273" s="0" t="n">
        <v>0.0095</v>
      </c>
      <c r="S273" s="0" t="n">
        <v>0.0083</v>
      </c>
      <c r="T273" s="0" t="n">
        <v>-1</v>
      </c>
      <c r="U273" s="0" t="n">
        <v>0.0147</v>
      </c>
      <c r="V273" s="0" t="s">
        <v>230</v>
      </c>
      <c r="W273" s="0" t="s">
        <v>46</v>
      </c>
      <c r="X273" s="0" t="s">
        <v>46</v>
      </c>
      <c r="Y273" s="0" t="s">
        <v>46</v>
      </c>
      <c r="Z273" s="0" t="s">
        <v>159</v>
      </c>
      <c r="AA273" s="0" t="s">
        <v>171</v>
      </c>
      <c r="AB273" s="0" t="s">
        <v>46</v>
      </c>
      <c r="AC273" s="0" t="s">
        <v>51</v>
      </c>
      <c r="AD273" s="0" t="s">
        <v>52</v>
      </c>
      <c r="AE273" s="0" t="s">
        <v>1604</v>
      </c>
      <c r="AF273" s="0" t="s">
        <v>1605</v>
      </c>
      <c r="AG273" s="0" t="s">
        <v>1606</v>
      </c>
      <c r="AH273" s="0" t="s">
        <v>46</v>
      </c>
      <c r="AI273" s="0" t="s">
        <v>46</v>
      </c>
      <c r="AJ273" s="0" t="s">
        <v>46</v>
      </c>
      <c r="AK273" s="0" t="s">
        <v>46</v>
      </c>
      <c r="AL273" s="0" t="s">
        <v>46</v>
      </c>
    </row>
    <row r="274" customFormat="false" ht="15" hidden="false" customHeight="false" outlineLevel="0" collapsed="false">
      <c r="B274" s="0" t="str">
        <f aca="false">HYPERLINK("https://genome.ucsc.edu/cgi-bin/hgTracks?db=hg19&amp;position=chr22%3A24982005%2D24982005", "chr22:24982005")</f>
        <v>chr22:24982005</v>
      </c>
      <c r="C274" s="0" t="s">
        <v>391</v>
      </c>
      <c r="D274" s="0" t="n">
        <v>24982005</v>
      </c>
      <c r="E274" s="0" t="n">
        <v>24982005</v>
      </c>
      <c r="F274" s="0" t="s">
        <v>39</v>
      </c>
      <c r="G274" s="0" t="s">
        <v>40</v>
      </c>
      <c r="H274" s="0" t="s">
        <v>1607</v>
      </c>
      <c r="I274" s="0" t="s">
        <v>144</v>
      </c>
      <c r="J274" s="0" t="s">
        <v>1608</v>
      </c>
      <c r="K274" s="0" t="s">
        <v>46</v>
      </c>
      <c r="L274" s="0" t="str">
        <f aca="false">HYPERLINK("https://www.ncbi.nlm.nih.gov/snp/rs199729018", "rs199729018")</f>
        <v>rs199729018</v>
      </c>
      <c r="M274" s="0" t="str">
        <f aca="false">HYPERLINK("https://www.genecards.org/Search/Keyword?queryString=%5Baliases%5D(%20FAM211B%20)%20OR%20%5Baliases%5D(%20LRRC75B%20)&amp;keywords=FAM211B,LRRC75B", "FAM211B;LRRC75B")</f>
        <v>FAM211B;LRRC75B</v>
      </c>
      <c r="N274" s="0" t="s">
        <v>98</v>
      </c>
      <c r="O274" s="0" t="s">
        <v>99</v>
      </c>
      <c r="P274" s="0" t="s">
        <v>1609</v>
      </c>
      <c r="Q274" s="0" t="n">
        <v>0.0046</v>
      </c>
      <c r="R274" s="0" t="n">
        <v>0.0048</v>
      </c>
      <c r="S274" s="0" t="n">
        <v>0.0045</v>
      </c>
      <c r="T274" s="0" t="n">
        <v>-1</v>
      </c>
      <c r="U274" s="0" t="n">
        <v>0.0076</v>
      </c>
      <c r="V274" s="0" t="s">
        <v>323</v>
      </c>
      <c r="W274" s="0" t="s">
        <v>46</v>
      </c>
      <c r="X274" s="0" t="s">
        <v>46</v>
      </c>
      <c r="Y274" s="0" t="s">
        <v>46</v>
      </c>
      <c r="Z274" s="0" t="s">
        <v>159</v>
      </c>
      <c r="AA274" s="0" t="s">
        <v>171</v>
      </c>
      <c r="AB274" s="0" t="s">
        <v>46</v>
      </c>
      <c r="AC274" s="0" t="s">
        <v>51</v>
      </c>
      <c r="AD274" s="0" t="s">
        <v>437</v>
      </c>
      <c r="AE274" s="0" t="s">
        <v>46</v>
      </c>
      <c r="AF274" s="0" t="s">
        <v>1610</v>
      </c>
      <c r="AG274" s="0" t="s">
        <v>46</v>
      </c>
      <c r="AH274" s="0" t="s">
        <v>46</v>
      </c>
      <c r="AI274" s="0" t="s">
        <v>46</v>
      </c>
      <c r="AJ274" s="0" t="s">
        <v>46</v>
      </c>
      <c r="AK274" s="0" t="s">
        <v>46</v>
      </c>
      <c r="AL274" s="0" t="s">
        <v>46</v>
      </c>
    </row>
    <row r="275" customFormat="false" ht="15" hidden="false" customHeight="false" outlineLevel="0" collapsed="false">
      <c r="B275" s="0" t="str">
        <f aca="false">HYPERLINK("https://genome.ucsc.edu/cgi-bin/hgTracks?db=hg19&amp;position=chr22%3A25023441%2D25023441", "chr22:25023441")</f>
        <v>chr22:25023441</v>
      </c>
      <c r="C275" s="0" t="s">
        <v>391</v>
      </c>
      <c r="D275" s="0" t="n">
        <v>25023441</v>
      </c>
      <c r="E275" s="0" t="n">
        <v>25023441</v>
      </c>
      <c r="F275" s="0" t="s">
        <v>39</v>
      </c>
      <c r="G275" s="0" t="s">
        <v>40</v>
      </c>
      <c r="H275" s="0" t="s">
        <v>1611</v>
      </c>
      <c r="I275" s="0" t="s">
        <v>1039</v>
      </c>
      <c r="J275" s="0" t="s">
        <v>1612</v>
      </c>
      <c r="K275" s="0" t="s">
        <v>46</v>
      </c>
      <c r="L275" s="0" t="str">
        <f aca="false">HYPERLINK("https://www.ncbi.nlm.nih.gov/snp/rs200419006", "rs200419006")</f>
        <v>rs200419006</v>
      </c>
      <c r="M275" s="0" t="str">
        <f aca="false">HYPERLINK("https://www.genecards.org/Search/Keyword?queryString=%5Baliases%5D(%20GGT1%20)&amp;keywords=GGT1", "GGT1")</f>
        <v>GGT1</v>
      </c>
      <c r="N275" s="0" t="s">
        <v>98</v>
      </c>
      <c r="O275" s="0" t="s">
        <v>99</v>
      </c>
      <c r="P275" s="0" t="s">
        <v>1613</v>
      </c>
      <c r="Q275" s="0" t="n">
        <v>5.17E-005</v>
      </c>
      <c r="R275" s="0" t="n">
        <v>-1</v>
      </c>
      <c r="S275" s="0" t="n">
        <v>-1</v>
      </c>
      <c r="T275" s="0" t="n">
        <v>-1</v>
      </c>
      <c r="U275" s="0" t="n">
        <v>-1</v>
      </c>
      <c r="V275" s="0" t="s">
        <v>608</v>
      </c>
      <c r="W275" s="0" t="s">
        <v>46</v>
      </c>
      <c r="X275" s="0" t="s">
        <v>46</v>
      </c>
      <c r="Y275" s="0" t="s">
        <v>46</v>
      </c>
      <c r="Z275" s="0" t="s">
        <v>49</v>
      </c>
      <c r="AA275" s="0" t="s">
        <v>171</v>
      </c>
      <c r="AB275" s="0" t="s">
        <v>46</v>
      </c>
      <c r="AC275" s="0" t="s">
        <v>51</v>
      </c>
      <c r="AD275" s="0" t="s">
        <v>111</v>
      </c>
      <c r="AE275" s="0" t="s">
        <v>1614</v>
      </c>
      <c r="AF275" s="0" t="s">
        <v>1615</v>
      </c>
      <c r="AG275" s="0" t="s">
        <v>1616</v>
      </c>
      <c r="AH275" s="0" t="s">
        <v>1617</v>
      </c>
      <c r="AI275" s="0" t="s">
        <v>802</v>
      </c>
      <c r="AJ275" s="0" t="s">
        <v>46</v>
      </c>
      <c r="AK275" s="0" t="s">
        <v>46</v>
      </c>
      <c r="AL275" s="0" t="s">
        <v>584</v>
      </c>
    </row>
    <row r="276" customFormat="false" ht="15" hidden="false" customHeight="false" outlineLevel="0" collapsed="false">
      <c r="B276" s="0" t="str">
        <f aca="false">HYPERLINK("https://genome.ucsc.edu/cgi-bin/hgTracks?db=hg19&amp;position=chr22%3A25023471%2D25023471", "chr22:25023471")</f>
        <v>chr22:25023471</v>
      </c>
      <c r="C276" s="0" t="s">
        <v>391</v>
      </c>
      <c r="D276" s="0" t="n">
        <v>25023471</v>
      </c>
      <c r="E276" s="0" t="n">
        <v>25023471</v>
      </c>
      <c r="F276" s="0" t="s">
        <v>39</v>
      </c>
      <c r="G276" s="0" t="s">
        <v>57</v>
      </c>
      <c r="H276" s="0" t="s">
        <v>1618</v>
      </c>
      <c r="I276" s="0" t="s">
        <v>605</v>
      </c>
      <c r="J276" s="0" t="s">
        <v>1619</v>
      </c>
      <c r="K276" s="0" t="s">
        <v>46</v>
      </c>
      <c r="L276" s="0" t="str">
        <f aca="false">HYPERLINK("https://www.ncbi.nlm.nih.gov/snp/rs201397128", "rs201397128")</f>
        <v>rs201397128</v>
      </c>
      <c r="M276" s="0" t="str">
        <f aca="false">HYPERLINK("https://www.genecards.org/Search/Keyword?queryString=%5Baliases%5D(%20GGT1%20)&amp;keywords=GGT1", "GGT1")</f>
        <v>GGT1</v>
      </c>
      <c r="N276" s="0" t="s">
        <v>98</v>
      </c>
      <c r="O276" s="0" t="s">
        <v>99</v>
      </c>
      <c r="P276" s="0" t="s">
        <v>1620</v>
      </c>
      <c r="Q276" s="0" t="n">
        <v>0.0002005</v>
      </c>
      <c r="R276" s="0" t="n">
        <v>-1</v>
      </c>
      <c r="S276" s="0" t="n">
        <v>-1</v>
      </c>
      <c r="T276" s="0" t="n">
        <v>-1</v>
      </c>
      <c r="U276" s="0" t="n">
        <v>-1</v>
      </c>
      <c r="V276" s="0" t="s">
        <v>215</v>
      </c>
      <c r="W276" s="0" t="s">
        <v>46</v>
      </c>
      <c r="X276" s="0" t="s">
        <v>46</v>
      </c>
      <c r="Y276" s="0" t="s">
        <v>46</v>
      </c>
      <c r="Z276" s="0" t="s">
        <v>49</v>
      </c>
      <c r="AA276" s="0" t="s">
        <v>171</v>
      </c>
      <c r="AB276" s="0" t="s">
        <v>46</v>
      </c>
      <c r="AC276" s="0" t="s">
        <v>51</v>
      </c>
      <c r="AD276" s="0" t="s">
        <v>111</v>
      </c>
      <c r="AE276" s="0" t="s">
        <v>1614</v>
      </c>
      <c r="AF276" s="0" t="s">
        <v>1615</v>
      </c>
      <c r="AG276" s="0" t="s">
        <v>1616</v>
      </c>
      <c r="AH276" s="0" t="s">
        <v>1617</v>
      </c>
      <c r="AI276" s="0" t="s">
        <v>802</v>
      </c>
      <c r="AJ276" s="0" t="s">
        <v>46</v>
      </c>
      <c r="AK276" s="0" t="s">
        <v>46</v>
      </c>
      <c r="AL276" s="0" t="s">
        <v>584</v>
      </c>
    </row>
    <row r="277" customFormat="false" ht="15" hidden="false" customHeight="false" outlineLevel="0" collapsed="false">
      <c r="B277" s="0" t="str">
        <f aca="false">HYPERLINK("https://genome.ucsc.edu/cgi-bin/hgTracks?db=hg19&amp;position=chr22%3A25023537%2D25023537", "chr22:25023537")</f>
        <v>chr22:25023537</v>
      </c>
      <c r="C277" s="0" t="s">
        <v>391</v>
      </c>
      <c r="D277" s="0" t="n">
        <v>25023537</v>
      </c>
      <c r="E277" s="0" t="n">
        <v>25023537</v>
      </c>
      <c r="F277" s="0" t="s">
        <v>69</v>
      </c>
      <c r="G277" s="0" t="s">
        <v>57</v>
      </c>
      <c r="H277" s="0" t="s">
        <v>1621</v>
      </c>
      <c r="I277" s="0" t="s">
        <v>1622</v>
      </c>
      <c r="J277" s="0" t="s">
        <v>1623</v>
      </c>
      <c r="K277" s="0" t="s">
        <v>46</v>
      </c>
      <c r="L277" s="0" t="str">
        <f aca="false">HYPERLINK("https://www.ncbi.nlm.nih.gov/snp/rs768399767", "rs768399767")</f>
        <v>rs768399767</v>
      </c>
      <c r="M277" s="0" t="str">
        <f aca="false">HYPERLINK("https://www.genecards.org/Search/Keyword?queryString=%5Baliases%5D(%20GGT1%20)&amp;keywords=GGT1", "GGT1")</f>
        <v>GGT1</v>
      </c>
      <c r="N277" s="0" t="s">
        <v>98</v>
      </c>
      <c r="O277" s="0" t="s">
        <v>99</v>
      </c>
      <c r="P277" s="0" t="s">
        <v>1624</v>
      </c>
      <c r="Q277" s="0" t="n">
        <v>0.0007374</v>
      </c>
      <c r="R277" s="0" t="n">
        <v>-1</v>
      </c>
      <c r="S277" s="0" t="n">
        <v>-1</v>
      </c>
      <c r="T277" s="0" t="n">
        <v>-1</v>
      </c>
      <c r="U277" s="0" t="n">
        <v>-1</v>
      </c>
      <c r="V277" s="0" t="s">
        <v>502</v>
      </c>
      <c r="W277" s="0" t="s">
        <v>46</v>
      </c>
      <c r="X277" s="0" t="s">
        <v>46</v>
      </c>
      <c r="Y277" s="0" t="s">
        <v>46</v>
      </c>
      <c r="Z277" s="0" t="s">
        <v>138</v>
      </c>
      <c r="AA277" s="0" t="s">
        <v>171</v>
      </c>
      <c r="AB277" s="0" t="s">
        <v>46</v>
      </c>
      <c r="AC277" s="0" t="s">
        <v>51</v>
      </c>
      <c r="AD277" s="0" t="s">
        <v>111</v>
      </c>
      <c r="AE277" s="0" t="s">
        <v>1614</v>
      </c>
      <c r="AF277" s="0" t="s">
        <v>1615</v>
      </c>
      <c r="AG277" s="0" t="s">
        <v>1616</v>
      </c>
      <c r="AH277" s="0" t="s">
        <v>1617</v>
      </c>
      <c r="AI277" s="0" t="s">
        <v>46</v>
      </c>
      <c r="AJ277" s="0" t="s">
        <v>46</v>
      </c>
      <c r="AK277" s="0" t="s">
        <v>46</v>
      </c>
      <c r="AL277" s="0" t="s">
        <v>584</v>
      </c>
    </row>
    <row r="278" customFormat="false" ht="15" hidden="false" customHeight="false" outlineLevel="0" collapsed="false">
      <c r="B278" s="0" t="str">
        <f aca="false">HYPERLINK("https://genome.ucsc.edu/cgi-bin/hgTracks?db=hg19&amp;position=chr22%3A25023540%2D25023540", "chr22:25023540")</f>
        <v>chr22:25023540</v>
      </c>
      <c r="C278" s="0" t="s">
        <v>391</v>
      </c>
      <c r="D278" s="0" t="n">
        <v>25023540</v>
      </c>
      <c r="E278" s="0" t="n">
        <v>25023540</v>
      </c>
      <c r="F278" s="0" t="s">
        <v>69</v>
      </c>
      <c r="G278" s="0" t="s">
        <v>57</v>
      </c>
      <c r="H278" s="0" t="s">
        <v>1625</v>
      </c>
      <c r="I278" s="0" t="s">
        <v>166</v>
      </c>
      <c r="J278" s="0" t="s">
        <v>1626</v>
      </c>
      <c r="K278" s="0" t="s">
        <v>46</v>
      </c>
      <c r="L278" s="0" t="str">
        <f aca="false">HYPERLINK("https://www.ncbi.nlm.nih.gov/snp/rs761538704", "rs761538704")</f>
        <v>rs761538704</v>
      </c>
      <c r="M278" s="0" t="str">
        <f aca="false">HYPERLINK("https://www.genecards.org/Search/Keyword?queryString=%5Baliases%5D(%20GGT1%20)&amp;keywords=GGT1", "GGT1")</f>
        <v>GGT1</v>
      </c>
      <c r="N278" s="0" t="s">
        <v>98</v>
      </c>
      <c r="O278" s="0" t="s">
        <v>99</v>
      </c>
      <c r="P278" s="0" t="s">
        <v>1627</v>
      </c>
      <c r="Q278" s="0" t="n">
        <v>0.0005951</v>
      </c>
      <c r="R278" s="0" t="n">
        <v>-1</v>
      </c>
      <c r="S278" s="0" t="n">
        <v>-1</v>
      </c>
      <c r="T278" s="0" t="n">
        <v>-1</v>
      </c>
      <c r="U278" s="0" t="n">
        <v>-1</v>
      </c>
      <c r="V278" s="0" t="s">
        <v>688</v>
      </c>
      <c r="W278" s="0" t="s">
        <v>46</v>
      </c>
      <c r="X278" s="0" t="s">
        <v>46</v>
      </c>
      <c r="Y278" s="0" t="s">
        <v>46</v>
      </c>
      <c r="Z278" s="0" t="s">
        <v>138</v>
      </c>
      <c r="AA278" s="0" t="s">
        <v>171</v>
      </c>
      <c r="AB278" s="0" t="s">
        <v>46</v>
      </c>
      <c r="AC278" s="0" t="s">
        <v>51</v>
      </c>
      <c r="AD278" s="0" t="s">
        <v>111</v>
      </c>
      <c r="AE278" s="0" t="s">
        <v>1614</v>
      </c>
      <c r="AF278" s="0" t="s">
        <v>1615</v>
      </c>
      <c r="AG278" s="0" t="s">
        <v>1616</v>
      </c>
      <c r="AH278" s="0" t="s">
        <v>1617</v>
      </c>
      <c r="AI278" s="0" t="s">
        <v>46</v>
      </c>
      <c r="AJ278" s="0" t="s">
        <v>46</v>
      </c>
      <c r="AK278" s="0" t="s">
        <v>46</v>
      </c>
      <c r="AL278" s="0" t="s">
        <v>584</v>
      </c>
    </row>
    <row r="279" customFormat="false" ht="15" hidden="false" customHeight="false" outlineLevel="0" collapsed="false">
      <c r="B279" s="0" t="str">
        <f aca="false">HYPERLINK("https://genome.ucsc.edu/cgi-bin/hgTracks?db=hg19&amp;position=chr22%3A25024072%2D25024072", "chr22:25024072")</f>
        <v>chr22:25024072</v>
      </c>
      <c r="C279" s="0" t="s">
        <v>391</v>
      </c>
      <c r="D279" s="0" t="n">
        <v>25024072</v>
      </c>
      <c r="E279" s="0" t="n">
        <v>25024072</v>
      </c>
      <c r="F279" s="0" t="s">
        <v>69</v>
      </c>
      <c r="G279" s="0" t="s">
        <v>40</v>
      </c>
      <c r="H279" s="0" t="s">
        <v>347</v>
      </c>
      <c r="I279" s="0" t="s">
        <v>273</v>
      </c>
      <c r="J279" s="0" t="s">
        <v>1628</v>
      </c>
      <c r="K279" s="0" t="s">
        <v>46</v>
      </c>
      <c r="L279" s="0" t="str">
        <f aca="false">HYPERLINK("https://www.ncbi.nlm.nih.gov/snp/rs199681469", "rs199681469")</f>
        <v>rs199681469</v>
      </c>
      <c r="M279" s="0" t="str">
        <f aca="false">HYPERLINK("https://www.genecards.org/Search/Keyword?queryString=%5Baliases%5D(%20GGT1%20)&amp;keywords=GGT1", "GGT1")</f>
        <v>GGT1</v>
      </c>
      <c r="N279" s="0" t="s">
        <v>98</v>
      </c>
      <c r="O279" s="0" t="s">
        <v>99</v>
      </c>
      <c r="P279" s="0" t="s">
        <v>1629</v>
      </c>
      <c r="Q279" s="0" t="n">
        <v>0.0035834</v>
      </c>
      <c r="R279" s="0" t="n">
        <v>-1</v>
      </c>
      <c r="S279" s="0" t="n">
        <v>-1</v>
      </c>
      <c r="T279" s="0" t="n">
        <v>-1</v>
      </c>
      <c r="U279" s="0" t="n">
        <v>-1</v>
      </c>
      <c r="V279" s="0" t="s">
        <v>596</v>
      </c>
      <c r="W279" s="0" t="s">
        <v>46</v>
      </c>
      <c r="X279" s="0" t="s">
        <v>46</v>
      </c>
      <c r="Y279" s="0" t="s">
        <v>46</v>
      </c>
      <c r="Z279" s="0" t="s">
        <v>159</v>
      </c>
      <c r="AA279" s="0" t="s">
        <v>171</v>
      </c>
      <c r="AB279" s="0" t="s">
        <v>46</v>
      </c>
      <c r="AC279" s="0" t="s">
        <v>51</v>
      </c>
      <c r="AD279" s="0" t="s">
        <v>111</v>
      </c>
      <c r="AE279" s="0" t="s">
        <v>1614</v>
      </c>
      <c r="AF279" s="0" t="s">
        <v>1615</v>
      </c>
      <c r="AG279" s="0" t="s">
        <v>1616</v>
      </c>
      <c r="AH279" s="0" t="s">
        <v>1617</v>
      </c>
      <c r="AI279" s="0" t="s">
        <v>802</v>
      </c>
      <c r="AJ279" s="0" t="s">
        <v>46</v>
      </c>
      <c r="AK279" s="0" t="s">
        <v>46</v>
      </c>
      <c r="AL279" s="0" t="s">
        <v>584</v>
      </c>
    </row>
    <row r="280" customFormat="false" ht="15" hidden="false" customHeight="false" outlineLevel="0" collapsed="false">
      <c r="B280" s="0" t="str">
        <f aca="false">HYPERLINK("https://genome.ucsc.edu/cgi-bin/hgTracks?db=hg19&amp;position=chr22%3A26000352%2D26000352", "chr22:26000352")</f>
        <v>chr22:26000352</v>
      </c>
      <c r="C280" s="0" t="s">
        <v>391</v>
      </c>
      <c r="D280" s="0" t="n">
        <v>26000352</v>
      </c>
      <c r="E280" s="0" t="n">
        <v>26000352</v>
      </c>
      <c r="F280" s="0" t="s">
        <v>69</v>
      </c>
      <c r="G280" s="0" t="s">
        <v>57</v>
      </c>
      <c r="H280" s="0" t="s">
        <v>812</v>
      </c>
      <c r="I280" s="0" t="s">
        <v>178</v>
      </c>
      <c r="J280" s="0" t="s">
        <v>179</v>
      </c>
      <c r="K280" s="0" t="s">
        <v>46</v>
      </c>
      <c r="L280" s="0" t="s">
        <v>46</v>
      </c>
      <c r="M280" s="0" t="str">
        <f aca="false">HYPERLINK("https://www.genecards.org/Search/Keyword?queryString=%5Baliases%5D(%20ADRBK2%20)%20OR%20%5Baliases%5D(%20GRK3%20)&amp;keywords=ADRBK2,GRK3", "ADRBK2;GRK3")</f>
        <v>ADRBK2;GRK3</v>
      </c>
      <c r="N280" s="0" t="s">
        <v>98</v>
      </c>
      <c r="O280" s="0" t="s">
        <v>99</v>
      </c>
      <c r="P280" s="0" t="s">
        <v>1630</v>
      </c>
      <c r="Q280" s="0" t="n">
        <v>-1</v>
      </c>
      <c r="R280" s="0" t="n">
        <v>-1</v>
      </c>
      <c r="S280" s="0" t="n">
        <v>-1</v>
      </c>
      <c r="T280" s="0" t="n">
        <v>-1</v>
      </c>
      <c r="U280" s="0" t="n">
        <v>-1</v>
      </c>
      <c r="V280" s="0" t="s">
        <v>502</v>
      </c>
      <c r="W280" s="0" t="s">
        <v>46</v>
      </c>
      <c r="X280" s="0" t="s">
        <v>46</v>
      </c>
      <c r="Y280" s="0" t="s">
        <v>46</v>
      </c>
      <c r="Z280" s="0" t="s">
        <v>231</v>
      </c>
      <c r="AA280" s="0" t="s">
        <v>171</v>
      </c>
      <c r="AB280" s="0" t="s">
        <v>46</v>
      </c>
      <c r="AC280" s="0" t="s">
        <v>51</v>
      </c>
      <c r="AD280" s="0" t="s">
        <v>437</v>
      </c>
      <c r="AE280" s="0" t="s">
        <v>1631</v>
      </c>
      <c r="AF280" s="0" t="s">
        <v>1632</v>
      </c>
      <c r="AG280" s="0" t="s">
        <v>1633</v>
      </c>
      <c r="AH280" s="0" t="s">
        <v>46</v>
      </c>
      <c r="AI280" s="0" t="s">
        <v>46</v>
      </c>
      <c r="AJ280" s="0" t="s">
        <v>46</v>
      </c>
      <c r="AK280" s="0" t="s">
        <v>46</v>
      </c>
      <c r="AL280" s="0" t="s">
        <v>46</v>
      </c>
    </row>
    <row r="281" customFormat="false" ht="15" hidden="false" customHeight="false" outlineLevel="0" collapsed="false">
      <c r="B281" s="0" t="str">
        <f aca="false">HYPERLINK("https://genome.ucsc.edu/cgi-bin/hgTracks?db=hg19&amp;position=chr22%3A31521595%2D31521595", "chr22:31521595")</f>
        <v>chr22:31521595</v>
      </c>
      <c r="C281" s="0" t="s">
        <v>391</v>
      </c>
      <c r="D281" s="0" t="n">
        <v>31521595</v>
      </c>
      <c r="E281" s="0" t="n">
        <v>31521595</v>
      </c>
      <c r="F281" s="0" t="s">
        <v>39</v>
      </c>
      <c r="G281" s="0" t="s">
        <v>57</v>
      </c>
      <c r="H281" s="0" t="s">
        <v>1634</v>
      </c>
      <c r="I281" s="0" t="s">
        <v>71</v>
      </c>
      <c r="J281" s="0" t="s">
        <v>228</v>
      </c>
      <c r="K281" s="0" t="s">
        <v>46</v>
      </c>
      <c r="L281" s="0" t="str">
        <f aca="false">HYPERLINK("https://www.ncbi.nlm.nih.gov/snp/rs41282561", "rs41282561")</f>
        <v>rs41282561</v>
      </c>
      <c r="M281" s="0" t="str">
        <f aca="false">HYPERLINK("https://www.genecards.org/Search/Keyword?queryString=%5Baliases%5D(%20INPP5J%20)&amp;keywords=INPP5J", "INPP5J")</f>
        <v>INPP5J</v>
      </c>
      <c r="N281" s="0" t="s">
        <v>98</v>
      </c>
      <c r="O281" s="0" t="s">
        <v>99</v>
      </c>
      <c r="P281" s="0" t="s">
        <v>1635</v>
      </c>
      <c r="Q281" s="0" t="n">
        <v>0.0299</v>
      </c>
      <c r="R281" s="0" t="n">
        <v>0.0302</v>
      </c>
      <c r="S281" s="0" t="n">
        <v>0.0313</v>
      </c>
      <c r="T281" s="0" t="n">
        <v>-1</v>
      </c>
      <c r="U281" s="0" t="n">
        <v>0.0388</v>
      </c>
      <c r="V281" s="0" t="s">
        <v>314</v>
      </c>
      <c r="W281" s="0" t="s">
        <v>46</v>
      </c>
      <c r="X281" s="0" t="s">
        <v>46</v>
      </c>
      <c r="Y281" s="0" t="s">
        <v>46</v>
      </c>
      <c r="Z281" s="0" t="s">
        <v>49</v>
      </c>
      <c r="AA281" s="0" t="s">
        <v>171</v>
      </c>
      <c r="AB281" s="0" t="s">
        <v>46</v>
      </c>
      <c r="AC281" s="0" t="s">
        <v>51</v>
      </c>
      <c r="AD281" s="0" t="s">
        <v>52</v>
      </c>
      <c r="AE281" s="0" t="s">
        <v>1636</v>
      </c>
      <c r="AF281" s="0" t="s">
        <v>1637</v>
      </c>
      <c r="AG281" s="0" t="s">
        <v>1638</v>
      </c>
      <c r="AH281" s="0" t="s">
        <v>46</v>
      </c>
      <c r="AI281" s="0" t="s">
        <v>46</v>
      </c>
      <c r="AJ281" s="0" t="s">
        <v>46</v>
      </c>
      <c r="AK281" s="0" t="s">
        <v>46</v>
      </c>
      <c r="AL281" s="0" t="s">
        <v>46</v>
      </c>
    </row>
    <row r="282" customFormat="false" ht="15" hidden="false" customHeight="false" outlineLevel="0" collapsed="false">
      <c r="B282" s="0" t="str">
        <f aca="false">HYPERLINK("https://genome.ucsc.edu/cgi-bin/hgTracks?db=hg19&amp;position=chr22%3A32811924%2D32811924", "chr22:32811924")</f>
        <v>chr22:32811924</v>
      </c>
      <c r="C282" s="0" t="s">
        <v>391</v>
      </c>
      <c r="D282" s="0" t="n">
        <v>32811924</v>
      </c>
      <c r="E282" s="0" t="n">
        <v>32811924</v>
      </c>
      <c r="F282" s="0" t="s">
        <v>40</v>
      </c>
      <c r="G282" s="0" t="s">
        <v>57</v>
      </c>
      <c r="H282" s="0" t="s">
        <v>1268</v>
      </c>
      <c r="I282" s="0" t="s">
        <v>618</v>
      </c>
      <c r="J282" s="0" t="s">
        <v>1639</v>
      </c>
      <c r="K282" s="0" t="s">
        <v>46</v>
      </c>
      <c r="L282" s="0" t="s">
        <v>46</v>
      </c>
      <c r="M282" s="0" t="str">
        <f aca="false">HYPERLINK("https://www.genecards.org/Search/Keyword?queryString=%5Baliases%5D(%20BPIFC%20)&amp;keywords=BPIFC", "BPIFC")</f>
        <v>BPIFC</v>
      </c>
      <c r="N282" s="0" t="s">
        <v>98</v>
      </c>
      <c r="O282" s="0" t="s">
        <v>99</v>
      </c>
      <c r="P282" s="0" t="s">
        <v>1640</v>
      </c>
      <c r="Q282" s="0" t="n">
        <v>-1</v>
      </c>
      <c r="R282" s="0" t="n">
        <v>-1</v>
      </c>
      <c r="S282" s="0" t="n">
        <v>-1</v>
      </c>
      <c r="T282" s="0" t="n">
        <v>-1</v>
      </c>
      <c r="U282" s="0" t="n">
        <v>-1</v>
      </c>
      <c r="V282" s="0" t="s">
        <v>480</v>
      </c>
      <c r="W282" s="0" t="s">
        <v>46</v>
      </c>
      <c r="X282" s="0" t="s">
        <v>46</v>
      </c>
      <c r="Y282" s="0" t="s">
        <v>46</v>
      </c>
      <c r="Z282" s="0" t="s">
        <v>138</v>
      </c>
      <c r="AA282" s="0" t="s">
        <v>171</v>
      </c>
      <c r="AB282" s="0" t="s">
        <v>46</v>
      </c>
      <c r="AC282" s="0" t="s">
        <v>51</v>
      </c>
      <c r="AD282" s="0" t="s">
        <v>52</v>
      </c>
      <c r="AE282" s="0" t="s">
        <v>1641</v>
      </c>
      <c r="AF282" s="0" t="s">
        <v>1642</v>
      </c>
      <c r="AG282" s="0" t="s">
        <v>46</v>
      </c>
      <c r="AH282" s="0" t="s">
        <v>46</v>
      </c>
      <c r="AI282" s="0" t="s">
        <v>46</v>
      </c>
      <c r="AJ282" s="0" t="s">
        <v>46</v>
      </c>
      <c r="AK282" s="0" t="s">
        <v>46</v>
      </c>
      <c r="AL282" s="0" t="s">
        <v>46</v>
      </c>
    </row>
    <row r="283" customFormat="false" ht="15" hidden="false" customHeight="false" outlineLevel="0" collapsed="false">
      <c r="B283" s="0" t="str">
        <f aca="false">HYPERLINK("https://genome.ucsc.edu/cgi-bin/hgTracks?db=hg19&amp;position=chr22%3A37962646%2D37962646", "chr22:37962646")</f>
        <v>chr22:37962646</v>
      </c>
      <c r="C283" s="0" t="s">
        <v>391</v>
      </c>
      <c r="D283" s="0" t="n">
        <v>37962646</v>
      </c>
      <c r="E283" s="0" t="n">
        <v>37962646</v>
      </c>
      <c r="F283" s="0" t="s">
        <v>69</v>
      </c>
      <c r="G283" s="0" t="s">
        <v>57</v>
      </c>
      <c r="H283" s="0" t="s">
        <v>1643</v>
      </c>
      <c r="I283" s="0" t="s">
        <v>1103</v>
      </c>
      <c r="J283" s="0" t="s">
        <v>1644</v>
      </c>
      <c r="K283" s="0" t="s">
        <v>46</v>
      </c>
      <c r="L283" s="0" t="str">
        <f aca="false">HYPERLINK("https://www.ncbi.nlm.nih.gov/snp/rs139353065", "rs139353065")</f>
        <v>rs139353065</v>
      </c>
      <c r="M283" s="0" t="str">
        <f aca="false">HYPERLINK("https://www.genecards.org/Search/Keyword?queryString=%5Baliases%5D(%20CDC42EP1%20)&amp;keywords=CDC42EP1", "CDC42EP1")</f>
        <v>CDC42EP1</v>
      </c>
      <c r="N283" s="0" t="s">
        <v>98</v>
      </c>
      <c r="O283" s="0" t="s">
        <v>99</v>
      </c>
      <c r="P283" s="0" t="s">
        <v>1645</v>
      </c>
      <c r="Q283" s="0" t="n">
        <v>0.0184</v>
      </c>
      <c r="R283" s="0" t="n">
        <v>0.0193</v>
      </c>
      <c r="S283" s="0" t="n">
        <v>0.0182</v>
      </c>
      <c r="T283" s="0" t="n">
        <v>-1</v>
      </c>
      <c r="U283" s="0" t="n">
        <v>0.0191</v>
      </c>
      <c r="V283" s="0" t="s">
        <v>148</v>
      </c>
      <c r="W283" s="0" t="s">
        <v>46</v>
      </c>
      <c r="X283" s="0" t="s">
        <v>46</v>
      </c>
      <c r="Y283" s="0" t="s">
        <v>46</v>
      </c>
      <c r="Z283" s="0" t="s">
        <v>231</v>
      </c>
      <c r="AA283" s="0" t="s">
        <v>171</v>
      </c>
      <c r="AB283" s="0" t="s">
        <v>46</v>
      </c>
      <c r="AC283" s="0" t="s">
        <v>51</v>
      </c>
      <c r="AD283" s="0" t="s">
        <v>52</v>
      </c>
      <c r="AE283" s="0" t="s">
        <v>1646</v>
      </c>
      <c r="AF283" s="0" t="s">
        <v>1647</v>
      </c>
      <c r="AG283" s="0" t="s">
        <v>1648</v>
      </c>
      <c r="AH283" s="0" t="s">
        <v>46</v>
      </c>
      <c r="AI283" s="0" t="s">
        <v>46</v>
      </c>
      <c r="AJ283" s="0" t="s">
        <v>46</v>
      </c>
      <c r="AK283" s="0" t="s">
        <v>46</v>
      </c>
      <c r="AL283" s="0" t="s">
        <v>46</v>
      </c>
    </row>
    <row r="284" customFormat="false" ht="15" hidden="false" customHeight="false" outlineLevel="0" collapsed="false">
      <c r="B284" s="0" t="str">
        <f aca="false">HYPERLINK("https://genome.ucsc.edu/cgi-bin/hgTracks?db=hg19&amp;position=chr22%3A44601656%2D44601656", "chr22:44601656")</f>
        <v>chr22:44601656</v>
      </c>
      <c r="C284" s="0" t="s">
        <v>391</v>
      </c>
      <c r="D284" s="0" t="n">
        <v>44601656</v>
      </c>
      <c r="E284" s="0" t="n">
        <v>44601656</v>
      </c>
      <c r="F284" s="0" t="s">
        <v>39</v>
      </c>
      <c r="G284" s="0" t="s">
        <v>40</v>
      </c>
      <c r="H284" s="0" t="s">
        <v>1649</v>
      </c>
      <c r="I284" s="0" t="s">
        <v>83</v>
      </c>
      <c r="J284" s="0" t="s">
        <v>1650</v>
      </c>
      <c r="K284" s="0" t="s">
        <v>46</v>
      </c>
      <c r="L284" s="0" t="str">
        <f aca="false">HYPERLINK("https://www.ncbi.nlm.nih.gov/snp/rs200223837", "rs200223837")</f>
        <v>rs200223837</v>
      </c>
      <c r="M284" s="0" t="str">
        <f aca="false">HYPERLINK("https://www.genecards.org/Search/Keyword?queryString=%5Baliases%5D(%20PARVG%20)&amp;keywords=PARVG", "PARVG")</f>
        <v>PARVG</v>
      </c>
      <c r="N284" s="0" t="s">
        <v>98</v>
      </c>
      <c r="O284" s="0" t="s">
        <v>99</v>
      </c>
      <c r="P284" s="0" t="s">
        <v>1651</v>
      </c>
      <c r="Q284" s="0" t="n">
        <v>0.001359</v>
      </c>
      <c r="R284" s="0" t="n">
        <v>0.0002</v>
      </c>
      <c r="S284" s="0" t="n">
        <v>0.0001</v>
      </c>
      <c r="T284" s="0" t="n">
        <v>-1</v>
      </c>
      <c r="U284" s="0" t="n">
        <v>-1</v>
      </c>
      <c r="V284" s="0" t="s">
        <v>291</v>
      </c>
      <c r="W284" s="0" t="s">
        <v>46</v>
      </c>
      <c r="X284" s="0" t="s">
        <v>46</v>
      </c>
      <c r="Y284" s="0" t="s">
        <v>46</v>
      </c>
      <c r="Z284" s="0" t="s">
        <v>159</v>
      </c>
      <c r="AA284" s="0" t="s">
        <v>171</v>
      </c>
      <c r="AB284" s="0" t="s">
        <v>46</v>
      </c>
      <c r="AC284" s="0" t="s">
        <v>51</v>
      </c>
      <c r="AD284" s="0" t="s">
        <v>52</v>
      </c>
      <c r="AE284" s="0" t="s">
        <v>1652</v>
      </c>
      <c r="AF284" s="0" t="s">
        <v>1653</v>
      </c>
      <c r="AG284" s="0" t="s">
        <v>1654</v>
      </c>
      <c r="AH284" s="0" t="s">
        <v>46</v>
      </c>
      <c r="AI284" s="0" t="s">
        <v>46</v>
      </c>
      <c r="AJ284" s="0" t="s">
        <v>46</v>
      </c>
      <c r="AK284" s="0" t="s">
        <v>46</v>
      </c>
      <c r="AL284" s="0" t="s">
        <v>46</v>
      </c>
    </row>
    <row r="285" customFormat="false" ht="15" hidden="false" customHeight="false" outlineLevel="0" collapsed="false">
      <c r="B285" s="0" t="str">
        <f aca="false">HYPERLINK("https://genome.ucsc.edu/cgi-bin/hgTracks?db=hg19&amp;position=chr3%3A3886692%2D3886692", "chr3:3886692")</f>
        <v>chr3:3886692</v>
      </c>
      <c r="C285" s="0" t="s">
        <v>309</v>
      </c>
      <c r="D285" s="0" t="n">
        <v>3886692</v>
      </c>
      <c r="E285" s="0" t="n">
        <v>3886692</v>
      </c>
      <c r="F285" s="0" t="s">
        <v>57</v>
      </c>
      <c r="G285" s="0" t="s">
        <v>69</v>
      </c>
      <c r="H285" s="0" t="s">
        <v>1655</v>
      </c>
      <c r="I285" s="0" t="s">
        <v>896</v>
      </c>
      <c r="J285" s="0" t="s">
        <v>1656</v>
      </c>
      <c r="K285" s="0" t="s">
        <v>46</v>
      </c>
      <c r="L285" s="0" t="str">
        <f aca="false">HYPERLINK("https://www.ncbi.nlm.nih.gov/snp/rs764793365", "rs764793365")</f>
        <v>rs764793365</v>
      </c>
      <c r="M285" s="0" t="str">
        <f aca="false">HYPERLINK("https://www.genecards.org/Search/Keyword?queryString=%5Baliases%5D(%20LRRN1%20)&amp;keywords=LRRN1", "LRRN1")</f>
        <v>LRRN1</v>
      </c>
      <c r="N285" s="0" t="s">
        <v>98</v>
      </c>
      <c r="O285" s="0" t="s">
        <v>99</v>
      </c>
      <c r="P285" s="0" t="s">
        <v>1657</v>
      </c>
      <c r="Q285" s="0" t="n">
        <v>7.181E-005</v>
      </c>
      <c r="R285" s="0" t="n">
        <v>-1</v>
      </c>
      <c r="S285" s="0" t="n">
        <v>7.341E-005</v>
      </c>
      <c r="T285" s="0" t="n">
        <v>-1</v>
      </c>
      <c r="U285" s="0" t="n">
        <v>-1</v>
      </c>
      <c r="V285" s="0" t="s">
        <v>194</v>
      </c>
      <c r="W285" s="0" t="s">
        <v>46</v>
      </c>
      <c r="X285" s="0" t="s">
        <v>46</v>
      </c>
      <c r="Y285" s="0" t="s">
        <v>46</v>
      </c>
      <c r="Z285" s="0" t="s">
        <v>183</v>
      </c>
      <c r="AA285" s="0" t="s">
        <v>171</v>
      </c>
      <c r="AB285" s="0" t="s">
        <v>46</v>
      </c>
      <c r="AC285" s="0" t="s">
        <v>51</v>
      </c>
      <c r="AD285" s="0" t="s">
        <v>52</v>
      </c>
      <c r="AE285" s="0" t="s">
        <v>1658</v>
      </c>
      <c r="AF285" s="0" t="s">
        <v>1659</v>
      </c>
      <c r="AG285" s="0" t="s">
        <v>46</v>
      </c>
      <c r="AH285" s="0" t="s">
        <v>46</v>
      </c>
      <c r="AI285" s="0" t="s">
        <v>46</v>
      </c>
      <c r="AJ285" s="0" t="s">
        <v>46</v>
      </c>
      <c r="AK285" s="0" t="s">
        <v>46</v>
      </c>
      <c r="AL285" s="0" t="s">
        <v>46</v>
      </c>
    </row>
    <row r="286" customFormat="false" ht="15" hidden="false" customHeight="false" outlineLevel="0" collapsed="false">
      <c r="B286" s="0" t="str">
        <f aca="false">HYPERLINK("https://genome.ucsc.edu/cgi-bin/hgTracks?db=hg19&amp;position=chr3%3A45637098%2D45637098", "chr3:45637098")</f>
        <v>chr3:45637098</v>
      </c>
      <c r="C286" s="0" t="s">
        <v>309</v>
      </c>
      <c r="D286" s="0" t="n">
        <v>45637098</v>
      </c>
      <c r="E286" s="0" t="n">
        <v>45637098</v>
      </c>
      <c r="F286" s="0" t="s">
        <v>57</v>
      </c>
      <c r="G286" s="0" t="s">
        <v>39</v>
      </c>
      <c r="H286" s="0" t="s">
        <v>1660</v>
      </c>
      <c r="I286" s="0" t="s">
        <v>707</v>
      </c>
      <c r="J286" s="0" t="s">
        <v>1661</v>
      </c>
      <c r="K286" s="0" t="s">
        <v>46</v>
      </c>
      <c r="L286" s="0" t="s">
        <v>46</v>
      </c>
      <c r="M286" s="0" t="str">
        <f aca="false">HYPERLINK("https://www.genecards.org/Search/Keyword?queryString=%5Baliases%5D(%20LIMD1%20)&amp;keywords=LIMD1", "LIMD1")</f>
        <v>LIMD1</v>
      </c>
      <c r="N286" s="0" t="s">
        <v>98</v>
      </c>
      <c r="O286" s="0" t="s">
        <v>99</v>
      </c>
      <c r="P286" s="0" t="s">
        <v>1662</v>
      </c>
      <c r="Q286" s="0" t="n">
        <v>-1</v>
      </c>
      <c r="R286" s="0" t="n">
        <v>-1</v>
      </c>
      <c r="S286" s="0" t="n">
        <v>-1</v>
      </c>
      <c r="T286" s="0" t="n">
        <v>-1</v>
      </c>
      <c r="U286" s="0" t="n">
        <v>-1</v>
      </c>
      <c r="V286" s="0" t="s">
        <v>502</v>
      </c>
      <c r="W286" s="0" t="s">
        <v>46</v>
      </c>
      <c r="X286" s="0" t="s">
        <v>46</v>
      </c>
      <c r="Y286" s="0" t="s">
        <v>46</v>
      </c>
      <c r="Z286" s="0" t="s">
        <v>138</v>
      </c>
      <c r="AA286" s="0" t="s">
        <v>171</v>
      </c>
      <c r="AB286" s="0" t="s">
        <v>46</v>
      </c>
      <c r="AC286" s="0" t="s">
        <v>51</v>
      </c>
      <c r="AD286" s="0" t="s">
        <v>52</v>
      </c>
      <c r="AE286" s="0" t="s">
        <v>1663</v>
      </c>
      <c r="AF286" s="0" t="s">
        <v>1664</v>
      </c>
      <c r="AG286" s="0" t="s">
        <v>1665</v>
      </c>
      <c r="AH286" s="0" t="s">
        <v>46</v>
      </c>
      <c r="AI286" s="0" t="s">
        <v>46</v>
      </c>
      <c r="AJ286" s="0" t="s">
        <v>46</v>
      </c>
      <c r="AK286" s="0" t="s">
        <v>46</v>
      </c>
      <c r="AL286" s="0" t="s">
        <v>46</v>
      </c>
    </row>
    <row r="287" customFormat="false" ht="15" hidden="false" customHeight="false" outlineLevel="0" collapsed="false">
      <c r="B287" s="0" t="str">
        <f aca="false">HYPERLINK("https://genome.ucsc.edu/cgi-bin/hgTracks?db=hg19&amp;position=chr3%3A62262647%2D62262647", "chr3:62262647")</f>
        <v>chr3:62262647</v>
      </c>
      <c r="C287" s="0" t="s">
        <v>309</v>
      </c>
      <c r="D287" s="0" t="n">
        <v>62262647</v>
      </c>
      <c r="E287" s="0" t="n">
        <v>62262647</v>
      </c>
      <c r="F287" s="0" t="s">
        <v>39</v>
      </c>
      <c r="G287" s="0" t="s">
        <v>40</v>
      </c>
      <c r="H287" s="0" t="s">
        <v>815</v>
      </c>
      <c r="I287" s="0" t="s">
        <v>1146</v>
      </c>
      <c r="J287" s="0" t="s">
        <v>1501</v>
      </c>
      <c r="K287" s="0" t="s">
        <v>46</v>
      </c>
      <c r="L287" s="0" t="s">
        <v>46</v>
      </c>
      <c r="M287" s="0" t="str">
        <f aca="false">HYPERLINK("https://www.genecards.org/Search/Keyword?queryString=%5Baliases%5D(%20PTPRG%20)&amp;keywords=PTPRG", "PTPRG")</f>
        <v>PTPRG</v>
      </c>
      <c r="N287" s="0" t="s">
        <v>98</v>
      </c>
      <c r="O287" s="0" t="s">
        <v>99</v>
      </c>
      <c r="P287" s="0" t="s">
        <v>1666</v>
      </c>
      <c r="Q287" s="0" t="n">
        <v>-1</v>
      </c>
      <c r="R287" s="0" t="n">
        <v>-1</v>
      </c>
      <c r="S287" s="0" t="n">
        <v>-1</v>
      </c>
      <c r="T287" s="0" t="n">
        <v>-1</v>
      </c>
      <c r="U287" s="0" t="n">
        <v>-1</v>
      </c>
      <c r="V287" s="0" t="s">
        <v>688</v>
      </c>
      <c r="W287" s="0" t="s">
        <v>999</v>
      </c>
      <c r="X287" s="0" t="s">
        <v>46</v>
      </c>
      <c r="Y287" s="0" t="s">
        <v>46</v>
      </c>
      <c r="Z287" s="0" t="s">
        <v>183</v>
      </c>
      <c r="AA287" s="0" t="s">
        <v>171</v>
      </c>
      <c r="AB287" s="0" t="s">
        <v>46</v>
      </c>
      <c r="AC287" s="0" t="s">
        <v>51</v>
      </c>
      <c r="AD287" s="0" t="s">
        <v>856</v>
      </c>
      <c r="AE287" s="0" t="s">
        <v>1667</v>
      </c>
      <c r="AF287" s="0" t="s">
        <v>1668</v>
      </c>
      <c r="AG287" s="0" t="s">
        <v>1669</v>
      </c>
      <c r="AH287" s="0" t="s">
        <v>46</v>
      </c>
      <c r="AI287" s="0" t="s">
        <v>46</v>
      </c>
      <c r="AJ287" s="0" t="s">
        <v>46</v>
      </c>
      <c r="AK287" s="0" t="s">
        <v>46</v>
      </c>
      <c r="AL287" s="0" t="s">
        <v>46</v>
      </c>
    </row>
    <row r="288" customFormat="false" ht="15" hidden="false" customHeight="false" outlineLevel="0" collapsed="false">
      <c r="B288" s="0" t="str">
        <f aca="false">HYPERLINK("https://genome.ucsc.edu/cgi-bin/hgTracks?db=hg19&amp;position=chr3%3A62262652%2D62262652", "chr3:62262652")</f>
        <v>chr3:62262652</v>
      </c>
      <c r="C288" s="0" t="s">
        <v>309</v>
      </c>
      <c r="D288" s="0" t="n">
        <v>62262652</v>
      </c>
      <c r="E288" s="0" t="n">
        <v>62262652</v>
      </c>
      <c r="F288" s="0" t="s">
        <v>39</v>
      </c>
      <c r="G288" s="0" t="s">
        <v>40</v>
      </c>
      <c r="H288" s="0" t="s">
        <v>815</v>
      </c>
      <c r="I288" s="0" t="s">
        <v>1146</v>
      </c>
      <c r="J288" s="0" t="s">
        <v>1501</v>
      </c>
      <c r="K288" s="0" t="s">
        <v>46</v>
      </c>
      <c r="L288" s="0" t="str">
        <f aca="false">HYPERLINK("https://www.ncbi.nlm.nih.gov/snp/rs759368265", "rs759368265")</f>
        <v>rs759368265</v>
      </c>
      <c r="M288" s="0" t="str">
        <f aca="false">HYPERLINK("https://www.genecards.org/Search/Keyword?queryString=%5Baliases%5D(%20PTPRG%20)&amp;keywords=PTPRG", "PTPRG")</f>
        <v>PTPRG</v>
      </c>
      <c r="N288" s="0" t="s">
        <v>98</v>
      </c>
      <c r="O288" s="0" t="s">
        <v>99</v>
      </c>
      <c r="P288" s="0" t="s">
        <v>1670</v>
      </c>
      <c r="Q288" s="0" t="n">
        <v>1.29E-005</v>
      </c>
      <c r="R288" s="0" t="n">
        <v>-1</v>
      </c>
      <c r="S288" s="0" t="n">
        <v>-1</v>
      </c>
      <c r="T288" s="0" t="n">
        <v>-1</v>
      </c>
      <c r="U288" s="0" t="n">
        <v>-1</v>
      </c>
      <c r="V288" s="0" t="s">
        <v>608</v>
      </c>
      <c r="W288" s="0" t="s">
        <v>46</v>
      </c>
      <c r="X288" s="0" t="s">
        <v>46</v>
      </c>
      <c r="Y288" s="0" t="s">
        <v>46</v>
      </c>
      <c r="Z288" s="0" t="s">
        <v>183</v>
      </c>
      <c r="AA288" s="0" t="s">
        <v>171</v>
      </c>
      <c r="AB288" s="0" t="s">
        <v>46</v>
      </c>
      <c r="AC288" s="0" t="s">
        <v>51</v>
      </c>
      <c r="AD288" s="0" t="s">
        <v>856</v>
      </c>
      <c r="AE288" s="0" t="s">
        <v>1667</v>
      </c>
      <c r="AF288" s="0" t="s">
        <v>1668</v>
      </c>
      <c r="AG288" s="0" t="s">
        <v>1669</v>
      </c>
      <c r="AH288" s="0" t="s">
        <v>46</v>
      </c>
      <c r="AI288" s="0" t="s">
        <v>46</v>
      </c>
      <c r="AJ288" s="0" t="s">
        <v>46</v>
      </c>
      <c r="AK288" s="0" t="s">
        <v>46</v>
      </c>
      <c r="AL288" s="0" t="s">
        <v>46</v>
      </c>
    </row>
    <row r="289" customFormat="false" ht="15" hidden="false" customHeight="false" outlineLevel="0" collapsed="false">
      <c r="B289" s="0" t="str">
        <f aca="false">HYPERLINK("https://genome.ucsc.edu/cgi-bin/hgTracks?db=hg19&amp;position=chr3%3A88205293%2D88205293", "chr3:88205293")</f>
        <v>chr3:88205293</v>
      </c>
      <c r="C289" s="0" t="s">
        <v>309</v>
      </c>
      <c r="D289" s="0" t="n">
        <v>88205293</v>
      </c>
      <c r="E289" s="0" t="n">
        <v>88205293</v>
      </c>
      <c r="F289" s="0" t="s">
        <v>57</v>
      </c>
      <c r="G289" s="0" t="s">
        <v>69</v>
      </c>
      <c r="H289" s="0" t="s">
        <v>1671</v>
      </c>
      <c r="I289" s="0" t="s">
        <v>311</v>
      </c>
      <c r="J289" s="0" t="s">
        <v>1672</v>
      </c>
      <c r="K289" s="0" t="s">
        <v>46</v>
      </c>
      <c r="L289" s="0" t="str">
        <f aca="false">HYPERLINK("https://www.ncbi.nlm.nih.gov/snp/rs116572795", "rs116572795")</f>
        <v>rs116572795</v>
      </c>
      <c r="M289" s="0" t="str">
        <f aca="false">HYPERLINK("https://www.genecards.org/Search/Keyword?queryString=%5Baliases%5D(%20C3orf38%20)&amp;keywords=C3orf38", "C3orf38")</f>
        <v>C3orf38</v>
      </c>
      <c r="N289" s="0" t="s">
        <v>98</v>
      </c>
      <c r="O289" s="0" t="s">
        <v>1351</v>
      </c>
      <c r="P289" s="0" t="s">
        <v>1673</v>
      </c>
      <c r="Q289" s="0" t="n">
        <v>0.020468</v>
      </c>
      <c r="R289" s="0" t="n">
        <v>0.016</v>
      </c>
      <c r="S289" s="0" t="n">
        <v>0.0217</v>
      </c>
      <c r="T289" s="0" t="n">
        <v>-1</v>
      </c>
      <c r="U289" s="0" t="n">
        <v>0.0203</v>
      </c>
      <c r="V289" s="0" t="s">
        <v>231</v>
      </c>
      <c r="W289" s="0" t="s">
        <v>46</v>
      </c>
      <c r="X289" s="0" t="s">
        <v>46</v>
      </c>
      <c r="Y289" s="0" t="s">
        <v>46</v>
      </c>
      <c r="Z289" s="0" t="s">
        <v>138</v>
      </c>
      <c r="AA289" s="0" t="s">
        <v>171</v>
      </c>
      <c r="AB289" s="0" t="s">
        <v>46</v>
      </c>
      <c r="AC289" s="0" t="s">
        <v>51</v>
      </c>
      <c r="AD289" s="0" t="s">
        <v>52</v>
      </c>
      <c r="AE289" s="0" t="s">
        <v>1674</v>
      </c>
      <c r="AF289" s="0" t="s">
        <v>1675</v>
      </c>
      <c r="AG289" s="0" t="s">
        <v>1676</v>
      </c>
      <c r="AH289" s="0" t="s">
        <v>46</v>
      </c>
      <c r="AI289" s="0" t="s">
        <v>46</v>
      </c>
      <c r="AJ289" s="0" t="s">
        <v>46</v>
      </c>
      <c r="AK289" s="0" t="s">
        <v>46</v>
      </c>
      <c r="AL289" s="0" t="s">
        <v>46</v>
      </c>
    </row>
    <row r="290" customFormat="false" ht="15" hidden="false" customHeight="false" outlineLevel="0" collapsed="false">
      <c r="B290" s="0" t="str">
        <f aca="false">HYPERLINK("https://genome.ucsc.edu/cgi-bin/hgTracks?db=hg19&amp;position=chr3%3A113724586%2D113724586", "chr3:113724586")</f>
        <v>chr3:113724586</v>
      </c>
      <c r="C290" s="0" t="s">
        <v>309</v>
      </c>
      <c r="D290" s="0" t="n">
        <v>113724586</v>
      </c>
      <c r="E290" s="0" t="n">
        <v>113724586</v>
      </c>
      <c r="F290" s="0" t="s">
        <v>69</v>
      </c>
      <c r="G290" s="0" t="s">
        <v>57</v>
      </c>
      <c r="H290" s="0" t="s">
        <v>1677</v>
      </c>
      <c r="I290" s="0" t="s">
        <v>144</v>
      </c>
      <c r="J290" s="0" t="s">
        <v>1678</v>
      </c>
      <c r="K290" s="0" t="s">
        <v>46</v>
      </c>
      <c r="L290" s="0" t="str">
        <f aca="false">HYPERLINK("https://www.ncbi.nlm.nih.gov/snp/rs141402448", "rs141402448")</f>
        <v>rs141402448</v>
      </c>
      <c r="M290" s="0" t="str">
        <f aca="false">HYPERLINK("https://www.genecards.org/Search/Keyword?queryString=%5Baliases%5D(%20CCDC191%20)%20OR%20%5Baliases%5D(%20KIAA1407%20)&amp;keywords=CCDC191,KIAA1407", "CCDC191;KIAA1407")</f>
        <v>CCDC191;KIAA1407</v>
      </c>
      <c r="N290" s="0" t="s">
        <v>98</v>
      </c>
      <c r="O290" s="0" t="s">
        <v>99</v>
      </c>
      <c r="P290" s="0" t="s">
        <v>1679</v>
      </c>
      <c r="Q290" s="0" t="n">
        <v>0.0018</v>
      </c>
      <c r="R290" s="0" t="n">
        <v>0.0015</v>
      </c>
      <c r="S290" s="0" t="n">
        <v>0.0012</v>
      </c>
      <c r="T290" s="0" t="n">
        <v>-1</v>
      </c>
      <c r="U290" s="0" t="n">
        <v>0.0013</v>
      </c>
      <c r="V290" s="0" t="s">
        <v>170</v>
      </c>
      <c r="W290" s="0" t="s">
        <v>46</v>
      </c>
      <c r="X290" s="0" t="s">
        <v>46</v>
      </c>
      <c r="Y290" s="0" t="s">
        <v>46</v>
      </c>
      <c r="Z290" s="0" t="s">
        <v>49</v>
      </c>
      <c r="AA290" s="0" t="s">
        <v>171</v>
      </c>
      <c r="AB290" s="0" t="s">
        <v>46</v>
      </c>
      <c r="AC290" s="0" t="s">
        <v>51</v>
      </c>
      <c r="AD290" s="0" t="s">
        <v>437</v>
      </c>
      <c r="AE290" s="0" t="s">
        <v>46</v>
      </c>
      <c r="AF290" s="0" t="s">
        <v>1680</v>
      </c>
      <c r="AG290" s="0" t="s">
        <v>46</v>
      </c>
      <c r="AH290" s="0" t="s">
        <v>46</v>
      </c>
      <c r="AI290" s="0" t="s">
        <v>46</v>
      </c>
      <c r="AJ290" s="0" t="s">
        <v>46</v>
      </c>
      <c r="AK290" s="0" t="s">
        <v>46</v>
      </c>
      <c r="AL290" s="0" t="s">
        <v>46</v>
      </c>
    </row>
    <row r="291" customFormat="false" ht="15" hidden="false" customHeight="false" outlineLevel="0" collapsed="false">
      <c r="B291" s="0" t="str">
        <f aca="false">HYPERLINK("https://genome.ucsc.edu/cgi-bin/hgTracks?db=hg19&amp;position=chr3%3A121345555%2D121345555", "chr3:121345555")</f>
        <v>chr3:121345555</v>
      </c>
      <c r="C291" s="0" t="s">
        <v>309</v>
      </c>
      <c r="D291" s="0" t="n">
        <v>121345555</v>
      </c>
      <c r="E291" s="0" t="n">
        <v>121345555</v>
      </c>
      <c r="F291" s="0" t="s">
        <v>69</v>
      </c>
      <c r="G291" s="0" t="s">
        <v>57</v>
      </c>
      <c r="H291" s="0" t="s">
        <v>1681</v>
      </c>
      <c r="I291" s="0" t="s">
        <v>1090</v>
      </c>
      <c r="J291" s="0" t="s">
        <v>1682</v>
      </c>
      <c r="K291" s="0" t="s">
        <v>46</v>
      </c>
      <c r="L291" s="0" t="str">
        <f aca="false">HYPERLINK("https://www.ncbi.nlm.nih.gov/snp/rs147110063", "rs147110063")</f>
        <v>rs147110063</v>
      </c>
      <c r="M291" s="0" t="str">
        <f aca="false">HYPERLINK("https://www.genecards.org/Search/Keyword?queryString=%5Baliases%5D(%20FBXO40%20)&amp;keywords=FBXO40", "FBXO40")</f>
        <v>FBXO40</v>
      </c>
      <c r="N291" s="0" t="s">
        <v>98</v>
      </c>
      <c r="O291" s="0" t="s">
        <v>99</v>
      </c>
      <c r="P291" s="0" t="s">
        <v>1683</v>
      </c>
      <c r="Q291" s="0" t="n">
        <v>0.001</v>
      </c>
      <c r="R291" s="0" t="n">
        <v>0.0013</v>
      </c>
      <c r="S291" s="0" t="n">
        <v>0.0011</v>
      </c>
      <c r="T291" s="0" t="n">
        <v>-1</v>
      </c>
      <c r="U291" s="0" t="n">
        <v>0.0014</v>
      </c>
      <c r="V291" s="0" t="s">
        <v>101</v>
      </c>
      <c r="W291" s="0" t="s">
        <v>46</v>
      </c>
      <c r="X291" s="0" t="s">
        <v>46</v>
      </c>
      <c r="Y291" s="0" t="s">
        <v>46</v>
      </c>
      <c r="Z291" s="0" t="s">
        <v>481</v>
      </c>
      <c r="AA291" s="0" t="s">
        <v>171</v>
      </c>
      <c r="AB291" s="0" t="s">
        <v>46</v>
      </c>
      <c r="AC291" s="0" t="s">
        <v>51</v>
      </c>
      <c r="AD291" s="0" t="s">
        <v>52</v>
      </c>
      <c r="AE291" s="0" t="s">
        <v>1684</v>
      </c>
      <c r="AF291" s="0" t="s">
        <v>1685</v>
      </c>
      <c r="AG291" s="0" t="s">
        <v>1686</v>
      </c>
      <c r="AH291" s="0" t="s">
        <v>46</v>
      </c>
      <c r="AI291" s="0" t="s">
        <v>46</v>
      </c>
      <c r="AJ291" s="0" t="s">
        <v>46</v>
      </c>
      <c r="AK291" s="0" t="s">
        <v>46</v>
      </c>
      <c r="AL291" s="0" t="s">
        <v>46</v>
      </c>
    </row>
    <row r="292" customFormat="false" ht="15" hidden="false" customHeight="false" outlineLevel="0" collapsed="false">
      <c r="B292" s="0" t="str">
        <f aca="false">HYPERLINK("https://genome.ucsc.edu/cgi-bin/hgTracks?db=hg19&amp;position=chr3%3A126135260%2D126135260", "chr3:126135260")</f>
        <v>chr3:126135260</v>
      </c>
      <c r="C292" s="0" t="s">
        <v>309</v>
      </c>
      <c r="D292" s="0" t="n">
        <v>126135260</v>
      </c>
      <c r="E292" s="0" t="n">
        <v>126135260</v>
      </c>
      <c r="F292" s="0" t="s">
        <v>69</v>
      </c>
      <c r="G292" s="0" t="s">
        <v>39</v>
      </c>
      <c r="H292" s="0" t="s">
        <v>1687</v>
      </c>
      <c r="I292" s="0" t="s">
        <v>71</v>
      </c>
      <c r="J292" s="0" t="s">
        <v>1688</v>
      </c>
      <c r="K292" s="0" t="s">
        <v>46</v>
      </c>
      <c r="L292" s="0" t="str">
        <f aca="false">HYPERLINK("https://www.ncbi.nlm.nih.gov/snp/rs375110270", "rs375110270")</f>
        <v>rs375110270</v>
      </c>
      <c r="M292" s="0" t="str">
        <f aca="false">HYPERLINK("https://www.genecards.org/Search/Keyword?queryString=%5Baliases%5D(%20CCDC37%20)%20OR%20%5Baliases%5D(%20CFAP100%20)&amp;keywords=CCDC37,CFAP100", "CCDC37;CFAP100")</f>
        <v>CCDC37;CFAP100</v>
      </c>
      <c r="N292" s="0" t="s">
        <v>98</v>
      </c>
      <c r="O292" s="0" t="s">
        <v>99</v>
      </c>
      <c r="P292" s="0" t="s">
        <v>1689</v>
      </c>
      <c r="Q292" s="0" t="n">
        <v>7.7E-005</v>
      </c>
      <c r="R292" s="0" t="n">
        <v>-1</v>
      </c>
      <c r="S292" s="0" t="n">
        <v>-1</v>
      </c>
      <c r="T292" s="0" t="n">
        <v>-1</v>
      </c>
      <c r="U292" s="0" t="n">
        <v>-1</v>
      </c>
      <c r="V292" s="0" t="s">
        <v>257</v>
      </c>
      <c r="W292" s="0" t="s">
        <v>46</v>
      </c>
      <c r="X292" s="0" t="s">
        <v>46</v>
      </c>
      <c r="Y292" s="0" t="s">
        <v>46</v>
      </c>
      <c r="Z292" s="0" t="s">
        <v>49</v>
      </c>
      <c r="AA292" s="0" t="s">
        <v>171</v>
      </c>
      <c r="AB292" s="0" t="s">
        <v>46</v>
      </c>
      <c r="AC292" s="0" t="s">
        <v>51</v>
      </c>
      <c r="AD292" s="0" t="s">
        <v>437</v>
      </c>
      <c r="AE292" s="0" t="s">
        <v>46</v>
      </c>
      <c r="AF292" s="0" t="s">
        <v>1690</v>
      </c>
      <c r="AG292" s="0" t="s">
        <v>46</v>
      </c>
      <c r="AH292" s="0" t="s">
        <v>46</v>
      </c>
      <c r="AI292" s="0" t="s">
        <v>46</v>
      </c>
      <c r="AJ292" s="0" t="s">
        <v>46</v>
      </c>
      <c r="AK292" s="0" t="s">
        <v>46</v>
      </c>
      <c r="AL292" s="0" t="s">
        <v>46</v>
      </c>
    </row>
    <row r="293" customFormat="false" ht="15" hidden="false" customHeight="false" outlineLevel="0" collapsed="false">
      <c r="B293" s="0" t="str">
        <f aca="false">HYPERLINK("https://genome.ucsc.edu/cgi-bin/hgTracks?db=hg19&amp;position=chr3%3A133305460%2D133305460", "chr3:133305460")</f>
        <v>chr3:133305460</v>
      </c>
      <c r="C293" s="0" t="s">
        <v>309</v>
      </c>
      <c r="D293" s="0" t="n">
        <v>133305460</v>
      </c>
      <c r="E293" s="0" t="n">
        <v>133305460</v>
      </c>
      <c r="F293" s="0" t="s">
        <v>69</v>
      </c>
      <c r="G293" s="0" t="s">
        <v>40</v>
      </c>
      <c r="H293" s="0" t="s">
        <v>1691</v>
      </c>
      <c r="I293" s="0" t="s">
        <v>842</v>
      </c>
      <c r="J293" s="0" t="s">
        <v>1692</v>
      </c>
      <c r="K293" s="0" t="s">
        <v>46</v>
      </c>
      <c r="L293" s="0" t="s">
        <v>46</v>
      </c>
      <c r="M293" s="0" t="str">
        <f aca="false">HYPERLINK("https://www.genecards.org/Search/Keyword?queryString=%5Baliases%5D(%20CDV3%20)&amp;keywords=CDV3", "CDV3")</f>
        <v>CDV3</v>
      </c>
      <c r="N293" s="0" t="s">
        <v>98</v>
      </c>
      <c r="O293" s="0" t="s">
        <v>99</v>
      </c>
      <c r="P293" s="0" t="s">
        <v>1693</v>
      </c>
      <c r="Q293" s="0" t="n">
        <v>-1</v>
      </c>
      <c r="R293" s="0" t="n">
        <v>-1</v>
      </c>
      <c r="S293" s="0" t="n">
        <v>-1</v>
      </c>
      <c r="T293" s="0" t="n">
        <v>-1</v>
      </c>
      <c r="U293" s="0" t="n">
        <v>-1</v>
      </c>
      <c r="V293" s="0" t="s">
        <v>194</v>
      </c>
      <c r="W293" s="0" t="s">
        <v>46</v>
      </c>
      <c r="X293" s="0" t="s">
        <v>46</v>
      </c>
      <c r="Y293" s="0" t="s">
        <v>46</v>
      </c>
      <c r="Z293" s="0" t="s">
        <v>183</v>
      </c>
      <c r="AA293" s="0" t="s">
        <v>171</v>
      </c>
      <c r="AB293" s="0" t="s">
        <v>46</v>
      </c>
      <c r="AC293" s="0" t="s">
        <v>51</v>
      </c>
      <c r="AD293" s="0" t="s">
        <v>52</v>
      </c>
      <c r="AE293" s="0" t="s">
        <v>1694</v>
      </c>
      <c r="AF293" s="0" t="s">
        <v>1695</v>
      </c>
      <c r="AG293" s="0" t="s">
        <v>46</v>
      </c>
      <c r="AH293" s="0" t="s">
        <v>46</v>
      </c>
      <c r="AI293" s="0" t="s">
        <v>46</v>
      </c>
      <c r="AJ293" s="0" t="s">
        <v>46</v>
      </c>
      <c r="AK293" s="0" t="s">
        <v>46</v>
      </c>
      <c r="AL293" s="0" t="s">
        <v>46</v>
      </c>
    </row>
    <row r="294" customFormat="false" ht="15" hidden="false" customHeight="false" outlineLevel="0" collapsed="false">
      <c r="B294" s="0" t="str">
        <f aca="false">HYPERLINK("https://genome.ucsc.edu/cgi-bin/hgTracks?db=hg19&amp;position=chr3%3A134084660%2D134084660", "chr3:134084660")</f>
        <v>chr3:134084660</v>
      </c>
      <c r="C294" s="0" t="s">
        <v>309</v>
      </c>
      <c r="D294" s="0" t="n">
        <v>134084660</v>
      </c>
      <c r="E294" s="0" t="n">
        <v>134084660</v>
      </c>
      <c r="F294" s="0" t="s">
        <v>39</v>
      </c>
      <c r="G294" s="0" t="s">
        <v>69</v>
      </c>
      <c r="H294" s="0" t="s">
        <v>1696</v>
      </c>
      <c r="I294" s="0" t="s">
        <v>464</v>
      </c>
      <c r="J294" s="0" t="s">
        <v>1697</v>
      </c>
      <c r="K294" s="0" t="s">
        <v>46</v>
      </c>
      <c r="L294" s="0" t="str">
        <f aca="false">HYPERLINK("https://www.ncbi.nlm.nih.gov/snp/rs139202377", "rs139202377")</f>
        <v>rs139202377</v>
      </c>
      <c r="M294" s="0" t="str">
        <f aca="false">HYPERLINK("https://www.genecards.org/Search/Keyword?queryString=%5Baliases%5D(%20AMOTL2%20)&amp;keywords=AMOTL2", "AMOTL2")</f>
        <v>AMOTL2</v>
      </c>
      <c r="N294" s="0" t="s">
        <v>98</v>
      </c>
      <c r="O294" s="0" t="s">
        <v>99</v>
      </c>
      <c r="P294" s="0" t="s">
        <v>1698</v>
      </c>
      <c r="Q294" s="0" t="n">
        <v>0.010101</v>
      </c>
      <c r="R294" s="0" t="n">
        <v>0.0064</v>
      </c>
      <c r="S294" s="0" t="n">
        <v>0.0057</v>
      </c>
      <c r="T294" s="0" t="n">
        <v>-1</v>
      </c>
      <c r="U294" s="0" t="n">
        <v>0.0091</v>
      </c>
      <c r="V294" s="0" t="s">
        <v>194</v>
      </c>
      <c r="W294" s="0" t="s">
        <v>40</v>
      </c>
      <c r="X294" s="0" t="s">
        <v>46</v>
      </c>
      <c r="Y294" s="0" t="s">
        <v>46</v>
      </c>
      <c r="Z294" s="0" t="s">
        <v>159</v>
      </c>
      <c r="AA294" s="0" t="s">
        <v>171</v>
      </c>
      <c r="AB294" s="0" t="s">
        <v>46</v>
      </c>
      <c r="AC294" s="0" t="s">
        <v>51</v>
      </c>
      <c r="AD294" s="0" t="s">
        <v>52</v>
      </c>
      <c r="AE294" s="0" t="s">
        <v>1699</v>
      </c>
      <c r="AF294" s="0" t="s">
        <v>1700</v>
      </c>
      <c r="AG294" s="0" t="s">
        <v>1701</v>
      </c>
      <c r="AH294" s="0" t="s">
        <v>46</v>
      </c>
      <c r="AI294" s="0" t="s">
        <v>46</v>
      </c>
      <c r="AJ294" s="0" t="s">
        <v>46</v>
      </c>
      <c r="AK294" s="0" t="s">
        <v>46</v>
      </c>
      <c r="AL294" s="0" t="s">
        <v>46</v>
      </c>
    </row>
    <row r="295" customFormat="false" ht="15" hidden="false" customHeight="false" outlineLevel="0" collapsed="false">
      <c r="B295" s="0" t="str">
        <f aca="false">HYPERLINK("https://genome.ucsc.edu/cgi-bin/hgTracks?db=hg19&amp;position=chr3%3A142430733%2D142430733", "chr3:142430733")</f>
        <v>chr3:142430733</v>
      </c>
      <c r="C295" s="0" t="s">
        <v>309</v>
      </c>
      <c r="D295" s="0" t="n">
        <v>142430733</v>
      </c>
      <c r="E295" s="0" t="n">
        <v>142430733</v>
      </c>
      <c r="F295" s="0" t="s">
        <v>39</v>
      </c>
      <c r="G295" s="0" t="s">
        <v>40</v>
      </c>
      <c r="H295" s="0" t="s">
        <v>1702</v>
      </c>
      <c r="I295" s="0" t="s">
        <v>434</v>
      </c>
      <c r="J295" s="0" t="s">
        <v>1336</v>
      </c>
      <c r="K295" s="0" t="s">
        <v>46</v>
      </c>
      <c r="L295" s="0" t="str">
        <f aca="false">HYPERLINK("https://www.ncbi.nlm.nih.gov/snp/rs144209693", "rs144209693")</f>
        <v>rs144209693</v>
      </c>
      <c r="M295" s="0" t="str">
        <f aca="false">HYPERLINK("https://www.genecards.org/Search/Keyword?queryString=%5Baliases%5D(%20PLS1%20)&amp;keywords=PLS1", "PLS1")</f>
        <v>PLS1</v>
      </c>
      <c r="N295" s="0" t="s">
        <v>98</v>
      </c>
      <c r="O295" s="0" t="s">
        <v>371</v>
      </c>
      <c r="P295" s="0" t="s">
        <v>1703</v>
      </c>
      <c r="Q295" s="0" t="n">
        <v>0.0005</v>
      </c>
      <c r="R295" s="0" t="n">
        <v>0.0004</v>
      </c>
      <c r="S295" s="0" t="n">
        <v>0.0005</v>
      </c>
      <c r="T295" s="0" t="n">
        <v>-1</v>
      </c>
      <c r="U295" s="0" t="n">
        <v>0.0004</v>
      </c>
      <c r="V295" s="0" t="s">
        <v>1143</v>
      </c>
      <c r="W295" s="0" t="s">
        <v>46</v>
      </c>
      <c r="X295" s="0" t="s">
        <v>46</v>
      </c>
      <c r="Y295" s="0" t="s">
        <v>46</v>
      </c>
      <c r="Z295" s="0" t="s">
        <v>102</v>
      </c>
      <c r="AA295" s="0" t="s">
        <v>171</v>
      </c>
      <c r="AB295" s="0" t="s">
        <v>46</v>
      </c>
      <c r="AC295" s="0" t="s">
        <v>51</v>
      </c>
      <c r="AD295" s="0" t="s">
        <v>52</v>
      </c>
      <c r="AE295" s="0" t="s">
        <v>1704</v>
      </c>
      <c r="AF295" s="0" t="s">
        <v>1705</v>
      </c>
      <c r="AG295" s="0" t="s">
        <v>1706</v>
      </c>
      <c r="AH295" s="0" t="s">
        <v>46</v>
      </c>
      <c r="AI295" s="0" t="s">
        <v>46</v>
      </c>
      <c r="AJ295" s="0" t="s">
        <v>46</v>
      </c>
      <c r="AK295" s="0" t="s">
        <v>46</v>
      </c>
      <c r="AL295" s="0" t="s">
        <v>46</v>
      </c>
    </row>
    <row r="296" customFormat="false" ht="15" hidden="false" customHeight="false" outlineLevel="0" collapsed="false">
      <c r="B296" s="0" t="str">
        <f aca="false">HYPERLINK("https://genome.ucsc.edu/cgi-bin/hgTracks?db=hg19&amp;position=chr3%3A142567275%2D142567275", "chr3:142567275")</f>
        <v>chr3:142567275</v>
      </c>
      <c r="C296" s="0" t="s">
        <v>309</v>
      </c>
      <c r="D296" s="0" t="n">
        <v>142567275</v>
      </c>
      <c r="E296" s="0" t="n">
        <v>142567275</v>
      </c>
      <c r="F296" s="0" t="s">
        <v>40</v>
      </c>
      <c r="G296" s="0" t="s">
        <v>57</v>
      </c>
      <c r="H296" s="0" t="s">
        <v>1374</v>
      </c>
      <c r="I296" s="0" t="s">
        <v>975</v>
      </c>
      <c r="J296" s="0" t="s">
        <v>1707</v>
      </c>
      <c r="K296" s="0" t="s">
        <v>46</v>
      </c>
      <c r="L296" s="0" t="str">
        <f aca="false">HYPERLINK("https://www.ncbi.nlm.nih.gov/snp/rs41267847", "rs41267847")</f>
        <v>rs41267847</v>
      </c>
      <c r="M296" s="0" t="str">
        <f aca="false">HYPERLINK("https://www.genecards.org/Search/Keyword?queryString=%5Baliases%5D(%20PCOLCE2%20)&amp;keywords=PCOLCE2", "PCOLCE2")</f>
        <v>PCOLCE2</v>
      </c>
      <c r="N296" s="0" t="s">
        <v>98</v>
      </c>
      <c r="O296" s="0" t="s">
        <v>99</v>
      </c>
      <c r="P296" s="0" t="s">
        <v>1708</v>
      </c>
      <c r="Q296" s="0" t="n">
        <v>0.0049</v>
      </c>
      <c r="R296" s="0" t="n">
        <v>0.0041</v>
      </c>
      <c r="S296" s="0" t="n">
        <v>0.0031</v>
      </c>
      <c r="T296" s="0" t="n">
        <v>-1</v>
      </c>
      <c r="U296" s="0" t="n">
        <v>0.0067</v>
      </c>
      <c r="V296" s="0" t="s">
        <v>215</v>
      </c>
      <c r="W296" s="0" t="s">
        <v>46</v>
      </c>
      <c r="X296" s="0" t="s">
        <v>46</v>
      </c>
      <c r="Y296" s="0" t="s">
        <v>46</v>
      </c>
      <c r="Z296" s="0" t="s">
        <v>159</v>
      </c>
      <c r="AA296" s="0" t="s">
        <v>171</v>
      </c>
      <c r="AB296" s="0" t="s">
        <v>46</v>
      </c>
      <c r="AC296" s="0" t="s">
        <v>51</v>
      </c>
      <c r="AD296" s="0" t="s">
        <v>52</v>
      </c>
      <c r="AE296" s="0" t="s">
        <v>1709</v>
      </c>
      <c r="AF296" s="0" t="s">
        <v>1710</v>
      </c>
      <c r="AG296" s="0" t="s">
        <v>1711</v>
      </c>
      <c r="AH296" s="0" t="s">
        <v>46</v>
      </c>
      <c r="AI296" s="0" t="s">
        <v>46</v>
      </c>
      <c r="AJ296" s="0" t="s">
        <v>46</v>
      </c>
      <c r="AK296" s="0" t="s">
        <v>46</v>
      </c>
      <c r="AL296" s="0" t="s">
        <v>46</v>
      </c>
    </row>
    <row r="297" customFormat="false" ht="15" hidden="false" customHeight="false" outlineLevel="0" collapsed="false">
      <c r="B297" s="0" t="str">
        <f aca="false">HYPERLINK("https://genome.ucsc.edu/cgi-bin/hgTracks?db=hg19&amp;position=chr4%3A8216304%2D8216304", "chr4:8216304")</f>
        <v>chr4:8216304</v>
      </c>
      <c r="C297" s="0" t="s">
        <v>245</v>
      </c>
      <c r="D297" s="0" t="n">
        <v>8216304</v>
      </c>
      <c r="E297" s="0" t="n">
        <v>8216304</v>
      </c>
      <c r="F297" s="0" t="s">
        <v>39</v>
      </c>
      <c r="G297" s="0" t="s">
        <v>40</v>
      </c>
      <c r="H297" s="0" t="s">
        <v>1712</v>
      </c>
      <c r="I297" s="0" t="s">
        <v>452</v>
      </c>
      <c r="J297" s="0" t="s">
        <v>1713</v>
      </c>
      <c r="K297" s="0" t="s">
        <v>46</v>
      </c>
      <c r="L297" s="0" t="s">
        <v>46</v>
      </c>
      <c r="M297" s="0" t="str">
        <f aca="false">HYPERLINK("https://www.genecards.org/Search/Keyword?queryString=%5Baliases%5D(%20SH3TC1%20)&amp;keywords=SH3TC1", "SH3TC1")</f>
        <v>SH3TC1</v>
      </c>
      <c r="N297" s="0" t="s">
        <v>98</v>
      </c>
      <c r="O297" s="0" t="s">
        <v>99</v>
      </c>
      <c r="P297" s="0" t="s">
        <v>1714</v>
      </c>
      <c r="Q297" s="0" t="n">
        <v>-1</v>
      </c>
      <c r="R297" s="0" t="n">
        <v>-1</v>
      </c>
      <c r="S297" s="0" t="n">
        <v>-1</v>
      </c>
      <c r="T297" s="0" t="n">
        <v>-1</v>
      </c>
      <c r="U297" s="0" t="n">
        <v>-1</v>
      </c>
      <c r="V297" s="0" t="s">
        <v>697</v>
      </c>
      <c r="W297" s="0" t="s">
        <v>46</v>
      </c>
      <c r="X297" s="0" t="s">
        <v>46</v>
      </c>
      <c r="Y297" s="0" t="s">
        <v>46</v>
      </c>
      <c r="Z297" s="0" t="s">
        <v>138</v>
      </c>
      <c r="AA297" s="0" t="s">
        <v>171</v>
      </c>
      <c r="AB297" s="0" t="s">
        <v>46</v>
      </c>
      <c r="AC297" s="0" t="s">
        <v>51</v>
      </c>
      <c r="AD297" s="0" t="s">
        <v>52</v>
      </c>
      <c r="AE297" s="0" t="s">
        <v>1715</v>
      </c>
      <c r="AF297" s="0" t="s">
        <v>1716</v>
      </c>
      <c r="AG297" s="0" t="s">
        <v>46</v>
      </c>
      <c r="AH297" s="0" t="s">
        <v>46</v>
      </c>
      <c r="AI297" s="0" t="s">
        <v>46</v>
      </c>
      <c r="AJ297" s="0" t="s">
        <v>46</v>
      </c>
      <c r="AK297" s="0" t="s">
        <v>46</v>
      </c>
      <c r="AL297" s="0" t="s">
        <v>46</v>
      </c>
    </row>
    <row r="298" customFormat="false" ht="15" hidden="false" customHeight="false" outlineLevel="0" collapsed="false">
      <c r="B298" s="0" t="str">
        <f aca="false">HYPERLINK("https://genome.ucsc.edu/cgi-bin/hgTracks?db=hg19&amp;position=chr4%3A48158701%2D48158701", "chr4:48158701")</f>
        <v>chr4:48158701</v>
      </c>
      <c r="C298" s="0" t="s">
        <v>245</v>
      </c>
      <c r="D298" s="0" t="n">
        <v>48158701</v>
      </c>
      <c r="E298" s="0" t="n">
        <v>48158701</v>
      </c>
      <c r="F298" s="0" t="s">
        <v>39</v>
      </c>
      <c r="G298" s="0" t="s">
        <v>40</v>
      </c>
      <c r="H298" s="0" t="s">
        <v>1077</v>
      </c>
      <c r="I298" s="0" t="s">
        <v>311</v>
      </c>
      <c r="J298" s="0" t="s">
        <v>1141</v>
      </c>
      <c r="K298" s="0" t="s">
        <v>46</v>
      </c>
      <c r="L298" s="0" t="s">
        <v>46</v>
      </c>
      <c r="M298" s="0" t="str">
        <f aca="false">HYPERLINK("https://www.genecards.org/Search/Keyword?queryString=%5Baliases%5D(%20TEC%20)&amp;keywords=TEC", "TEC")</f>
        <v>TEC</v>
      </c>
      <c r="N298" s="0" t="s">
        <v>98</v>
      </c>
      <c r="O298" s="0" t="s">
        <v>99</v>
      </c>
      <c r="P298" s="0" t="s">
        <v>1717</v>
      </c>
      <c r="Q298" s="0" t="n">
        <v>-1</v>
      </c>
      <c r="R298" s="0" t="n">
        <v>-1</v>
      </c>
      <c r="S298" s="0" t="n">
        <v>-1</v>
      </c>
      <c r="T298" s="0" t="n">
        <v>-1</v>
      </c>
      <c r="U298" s="0" t="n">
        <v>-1</v>
      </c>
      <c r="V298" s="0" t="s">
        <v>600</v>
      </c>
      <c r="W298" s="0" t="s">
        <v>46</v>
      </c>
      <c r="X298" s="0" t="s">
        <v>46</v>
      </c>
      <c r="Y298" s="0" t="s">
        <v>46</v>
      </c>
      <c r="Z298" s="0" t="s">
        <v>138</v>
      </c>
      <c r="AA298" s="0" t="s">
        <v>171</v>
      </c>
      <c r="AB298" s="0" t="s">
        <v>46</v>
      </c>
      <c r="AC298" s="0" t="s">
        <v>51</v>
      </c>
      <c r="AD298" s="0" t="s">
        <v>52</v>
      </c>
      <c r="AE298" s="0" t="s">
        <v>1718</v>
      </c>
      <c r="AF298" s="0" t="s">
        <v>1719</v>
      </c>
      <c r="AG298" s="0" t="s">
        <v>1720</v>
      </c>
      <c r="AH298" s="0" t="s">
        <v>46</v>
      </c>
      <c r="AI298" s="0" t="s">
        <v>46</v>
      </c>
      <c r="AJ298" s="0" t="s">
        <v>46</v>
      </c>
      <c r="AK298" s="0" t="s">
        <v>46</v>
      </c>
      <c r="AL298" s="0" t="s">
        <v>46</v>
      </c>
    </row>
    <row r="299" customFormat="false" ht="15" hidden="false" customHeight="false" outlineLevel="0" collapsed="false">
      <c r="B299" s="0" t="str">
        <f aca="false">HYPERLINK("https://genome.ucsc.edu/cgi-bin/hgTracks?db=hg19&amp;position=chr4%3A69696589%2D69696589", "chr4:69696589")</f>
        <v>chr4:69696589</v>
      </c>
      <c r="C299" s="0" t="s">
        <v>245</v>
      </c>
      <c r="D299" s="0" t="n">
        <v>69696589</v>
      </c>
      <c r="E299" s="0" t="n">
        <v>69696589</v>
      </c>
      <c r="F299" s="0" t="s">
        <v>57</v>
      </c>
      <c r="G299" s="0" t="s">
        <v>69</v>
      </c>
      <c r="H299" s="0" t="s">
        <v>1721</v>
      </c>
      <c r="I299" s="0" t="s">
        <v>413</v>
      </c>
      <c r="J299" s="0" t="s">
        <v>414</v>
      </c>
      <c r="K299" s="0" t="s">
        <v>46</v>
      </c>
      <c r="L299" s="0" t="s">
        <v>46</v>
      </c>
      <c r="M299" s="0" t="str">
        <f aca="false">HYPERLINK("https://www.genecards.org/Search/Keyword?queryString=%5Baliases%5D(%20UGT2B10%20)&amp;keywords=UGT2B10", "UGT2B10")</f>
        <v>UGT2B10</v>
      </c>
      <c r="N299" s="0" t="s">
        <v>98</v>
      </c>
      <c r="O299" s="0" t="s">
        <v>99</v>
      </c>
      <c r="P299" s="0" t="s">
        <v>1722</v>
      </c>
      <c r="Q299" s="0" t="n">
        <v>-1</v>
      </c>
      <c r="R299" s="0" t="n">
        <v>-1</v>
      </c>
      <c r="S299" s="0" t="n">
        <v>-1</v>
      </c>
      <c r="T299" s="0" t="n">
        <v>-1</v>
      </c>
      <c r="U299" s="0" t="n">
        <v>-1</v>
      </c>
      <c r="V299" s="0" t="s">
        <v>215</v>
      </c>
      <c r="W299" s="0" t="s">
        <v>46</v>
      </c>
      <c r="X299" s="0" t="s">
        <v>46</v>
      </c>
      <c r="Y299" s="0" t="s">
        <v>46</v>
      </c>
      <c r="Z299" s="0" t="s">
        <v>49</v>
      </c>
      <c r="AA299" s="0" t="s">
        <v>171</v>
      </c>
      <c r="AB299" s="0" t="s">
        <v>46</v>
      </c>
      <c r="AC299" s="0" t="s">
        <v>51</v>
      </c>
      <c r="AD299" s="0" t="s">
        <v>856</v>
      </c>
      <c r="AE299" s="0" t="s">
        <v>1723</v>
      </c>
      <c r="AF299" s="0" t="s">
        <v>1724</v>
      </c>
      <c r="AG299" s="0" t="s">
        <v>1725</v>
      </c>
      <c r="AH299" s="0" t="s">
        <v>46</v>
      </c>
      <c r="AI299" s="0" t="s">
        <v>46</v>
      </c>
      <c r="AJ299" s="0" t="s">
        <v>46</v>
      </c>
      <c r="AK299" s="0" t="s">
        <v>1726</v>
      </c>
      <c r="AL299" s="0" t="s">
        <v>609</v>
      </c>
    </row>
    <row r="300" customFormat="false" ht="15" hidden="false" customHeight="false" outlineLevel="0" collapsed="false">
      <c r="B300" s="0" t="str">
        <f aca="false">HYPERLINK("https://genome.ucsc.edu/cgi-bin/hgTracks?db=hg19&amp;position=chr4%3A69870789%2D69870789", "chr4:69870789")</f>
        <v>chr4:69870789</v>
      </c>
      <c r="C300" s="0" t="s">
        <v>245</v>
      </c>
      <c r="D300" s="0" t="n">
        <v>69870789</v>
      </c>
      <c r="E300" s="0" t="n">
        <v>69870789</v>
      </c>
      <c r="F300" s="0" t="s">
        <v>69</v>
      </c>
      <c r="G300" s="0" t="s">
        <v>57</v>
      </c>
      <c r="H300" s="0" t="s">
        <v>1727</v>
      </c>
      <c r="I300" s="0" t="s">
        <v>756</v>
      </c>
      <c r="J300" s="0" t="s">
        <v>1728</v>
      </c>
      <c r="K300" s="0" t="s">
        <v>46</v>
      </c>
      <c r="L300" s="0" t="str">
        <f aca="false">HYPERLINK("https://www.ncbi.nlm.nih.gov/snp/rs149826760", "rs149826760")</f>
        <v>rs149826760</v>
      </c>
      <c r="M300" s="0" t="str">
        <f aca="false">HYPERLINK("https://www.genecards.org/Search/Keyword?queryString=%5Baliases%5D(%20UGT2B10%20)&amp;keywords=UGT2B10", "UGT2B10")</f>
        <v>UGT2B10</v>
      </c>
      <c r="N300" s="0" t="s">
        <v>1306</v>
      </c>
      <c r="O300" s="0" t="s">
        <v>371</v>
      </c>
      <c r="P300" s="0" t="s">
        <v>1729</v>
      </c>
      <c r="Q300" s="0" t="n">
        <v>0.0034</v>
      </c>
      <c r="R300" s="0" t="n">
        <v>0.0012</v>
      </c>
      <c r="S300" s="0" t="n">
        <v>0.0004</v>
      </c>
      <c r="T300" s="0" t="n">
        <v>-1</v>
      </c>
      <c r="U300" s="0" t="n">
        <v>0.0004</v>
      </c>
      <c r="V300" s="0" t="s">
        <v>46</v>
      </c>
      <c r="W300" s="0" t="s">
        <v>46</v>
      </c>
      <c r="X300" s="0" t="s">
        <v>46</v>
      </c>
      <c r="Y300" s="0" t="s">
        <v>46</v>
      </c>
      <c r="Z300" s="0" t="s">
        <v>46</v>
      </c>
      <c r="AA300" s="0" t="s">
        <v>171</v>
      </c>
      <c r="AB300" s="0" t="s">
        <v>46</v>
      </c>
      <c r="AC300" s="0" t="s">
        <v>51</v>
      </c>
      <c r="AD300" s="0" t="s">
        <v>856</v>
      </c>
      <c r="AE300" s="0" t="s">
        <v>1723</v>
      </c>
      <c r="AF300" s="0" t="s">
        <v>1724</v>
      </c>
      <c r="AG300" s="0" t="s">
        <v>1725</v>
      </c>
      <c r="AH300" s="0" t="s">
        <v>46</v>
      </c>
      <c r="AI300" s="0" t="s">
        <v>46</v>
      </c>
      <c r="AJ300" s="0" t="s">
        <v>46</v>
      </c>
      <c r="AK300" s="0" t="s">
        <v>1726</v>
      </c>
      <c r="AL300" s="0" t="s">
        <v>609</v>
      </c>
    </row>
    <row r="301" customFormat="false" ht="15" hidden="false" customHeight="false" outlineLevel="0" collapsed="false">
      <c r="B301" s="0" t="str">
        <f aca="false">HYPERLINK("https://genome.ucsc.edu/cgi-bin/hgTracks?db=hg19&amp;position=chr4%3A71824623%2D71824623", "chr4:71824623")</f>
        <v>chr4:71824623</v>
      </c>
      <c r="C301" s="0" t="s">
        <v>245</v>
      </c>
      <c r="D301" s="0" t="n">
        <v>71824623</v>
      </c>
      <c r="E301" s="0" t="n">
        <v>71824623</v>
      </c>
      <c r="F301" s="0" t="s">
        <v>57</v>
      </c>
      <c r="G301" s="0" t="s">
        <v>39</v>
      </c>
      <c r="H301" s="0" t="s">
        <v>1730</v>
      </c>
      <c r="I301" s="0" t="s">
        <v>618</v>
      </c>
      <c r="J301" s="0" t="s">
        <v>1731</v>
      </c>
      <c r="K301" s="0" t="s">
        <v>46</v>
      </c>
      <c r="L301" s="0" t="s">
        <v>46</v>
      </c>
      <c r="M301" s="0" t="str">
        <f aca="false">HYPERLINK("https://www.genecards.org/Search/Keyword?queryString=%5Baliases%5D(%20MOB1B%20)&amp;keywords=MOB1B", "MOB1B")</f>
        <v>MOB1B</v>
      </c>
      <c r="N301" s="0" t="s">
        <v>98</v>
      </c>
      <c r="O301" s="0" t="s">
        <v>99</v>
      </c>
      <c r="P301" s="0" t="s">
        <v>1732</v>
      </c>
      <c r="Q301" s="0" t="n">
        <v>-1</v>
      </c>
      <c r="R301" s="0" t="n">
        <v>-1</v>
      </c>
      <c r="S301" s="0" t="n">
        <v>-1</v>
      </c>
      <c r="T301" s="0" t="n">
        <v>-1</v>
      </c>
      <c r="U301" s="0" t="n">
        <v>-1</v>
      </c>
      <c r="V301" s="0" t="s">
        <v>230</v>
      </c>
      <c r="W301" s="0" t="s">
        <v>46</v>
      </c>
      <c r="X301" s="0" t="s">
        <v>46</v>
      </c>
      <c r="Y301" s="0" t="s">
        <v>46</v>
      </c>
      <c r="Z301" s="0" t="s">
        <v>481</v>
      </c>
      <c r="AA301" s="0" t="s">
        <v>171</v>
      </c>
      <c r="AB301" s="0" t="s">
        <v>46</v>
      </c>
      <c r="AC301" s="0" t="s">
        <v>51</v>
      </c>
      <c r="AD301" s="0" t="s">
        <v>52</v>
      </c>
      <c r="AE301" s="0" t="s">
        <v>1733</v>
      </c>
      <c r="AF301" s="0" t="s">
        <v>1734</v>
      </c>
      <c r="AG301" s="0" t="s">
        <v>1735</v>
      </c>
      <c r="AH301" s="0" t="s">
        <v>46</v>
      </c>
      <c r="AI301" s="0" t="s">
        <v>46</v>
      </c>
      <c r="AJ301" s="0" t="s">
        <v>46</v>
      </c>
      <c r="AK301" s="0" t="s">
        <v>46</v>
      </c>
      <c r="AL301" s="0" t="s">
        <v>46</v>
      </c>
    </row>
    <row r="302" customFormat="false" ht="15" hidden="false" customHeight="false" outlineLevel="0" collapsed="false">
      <c r="B302" s="0" t="str">
        <f aca="false">HYPERLINK("https://genome.ucsc.edu/cgi-bin/hgTracks?db=hg19&amp;position=chr4%3A114278901%2D114278901", "chr4:114278901")</f>
        <v>chr4:114278901</v>
      </c>
      <c r="C302" s="0" t="s">
        <v>245</v>
      </c>
      <c r="D302" s="0" t="n">
        <v>114278901</v>
      </c>
      <c r="E302" s="0" t="n">
        <v>114278901</v>
      </c>
      <c r="F302" s="0" t="s">
        <v>69</v>
      </c>
      <c r="G302" s="0" t="s">
        <v>40</v>
      </c>
      <c r="H302" s="0" t="s">
        <v>818</v>
      </c>
      <c r="I302" s="0" t="s">
        <v>413</v>
      </c>
      <c r="J302" s="0" t="s">
        <v>414</v>
      </c>
      <c r="K302" s="0" t="s">
        <v>46</v>
      </c>
      <c r="L302" s="0" t="s">
        <v>46</v>
      </c>
      <c r="M302" s="0" t="str">
        <f aca="false">HYPERLINK("https://www.genecards.org/Search/Keyword?queryString=%5Baliases%5D(%20ANK2%20)&amp;keywords=ANK2", "ANK2")</f>
        <v>ANK2</v>
      </c>
      <c r="N302" s="0" t="s">
        <v>98</v>
      </c>
      <c r="O302" s="0" t="s">
        <v>99</v>
      </c>
      <c r="P302" s="0" t="s">
        <v>1736</v>
      </c>
      <c r="Q302" s="0" t="n">
        <v>-1</v>
      </c>
      <c r="R302" s="0" t="n">
        <v>-1</v>
      </c>
      <c r="S302" s="0" t="n">
        <v>-1</v>
      </c>
      <c r="T302" s="0" t="n">
        <v>-1</v>
      </c>
      <c r="U302" s="0" t="n">
        <v>-1</v>
      </c>
      <c r="V302" s="0" t="s">
        <v>291</v>
      </c>
      <c r="W302" s="0" t="s">
        <v>46</v>
      </c>
      <c r="X302" s="0" t="s">
        <v>46</v>
      </c>
      <c r="Y302" s="0" t="s">
        <v>46</v>
      </c>
      <c r="Z302" s="0" t="s">
        <v>183</v>
      </c>
      <c r="AA302" s="0" t="s">
        <v>171</v>
      </c>
      <c r="AB302" s="0" t="s">
        <v>46</v>
      </c>
      <c r="AC302" s="0" t="s">
        <v>51</v>
      </c>
      <c r="AD302" s="0" t="s">
        <v>52</v>
      </c>
      <c r="AE302" s="0" t="s">
        <v>1737</v>
      </c>
      <c r="AF302" s="0" t="s">
        <v>1738</v>
      </c>
      <c r="AG302" s="0" t="s">
        <v>1739</v>
      </c>
      <c r="AH302" s="0" t="s">
        <v>1740</v>
      </c>
      <c r="AI302" s="0" t="s">
        <v>46</v>
      </c>
      <c r="AJ302" s="0" t="s">
        <v>46</v>
      </c>
      <c r="AK302" s="0" t="s">
        <v>46</v>
      </c>
      <c r="AL302" s="0" t="s">
        <v>46</v>
      </c>
    </row>
    <row r="303" customFormat="false" ht="15" hidden="false" customHeight="false" outlineLevel="0" collapsed="false">
      <c r="B303" s="0" t="str">
        <f aca="false">HYPERLINK("https://genome.ucsc.edu/cgi-bin/hgTracks?db=hg19&amp;position=chr4%3A152069208%2D152069208", "chr4:152069208")</f>
        <v>chr4:152069208</v>
      </c>
      <c r="C303" s="0" t="s">
        <v>245</v>
      </c>
      <c r="D303" s="0" t="n">
        <v>152069208</v>
      </c>
      <c r="E303" s="0" t="n">
        <v>152069208</v>
      </c>
      <c r="F303" s="0" t="s">
        <v>39</v>
      </c>
      <c r="G303" s="0" t="s">
        <v>40</v>
      </c>
      <c r="H303" s="0" t="s">
        <v>1741</v>
      </c>
      <c r="I303" s="0" t="s">
        <v>842</v>
      </c>
      <c r="J303" s="0" t="s">
        <v>1692</v>
      </c>
      <c r="K303" s="0" t="s">
        <v>46</v>
      </c>
      <c r="L303" s="0" t="str">
        <f aca="false">HYPERLINK("https://www.ncbi.nlm.nih.gov/snp/rs778859134", "rs778859134")</f>
        <v>rs778859134</v>
      </c>
      <c r="M303" s="0" t="str">
        <f aca="false">HYPERLINK("https://www.genecards.org/Search/Keyword?queryString=%5Baliases%5D(%20SH3D19%20)&amp;keywords=SH3D19", "SH3D19")</f>
        <v>SH3D19</v>
      </c>
      <c r="N303" s="0" t="s">
        <v>98</v>
      </c>
      <c r="O303" s="0" t="s">
        <v>99</v>
      </c>
      <c r="P303" s="0" t="s">
        <v>1742</v>
      </c>
      <c r="Q303" s="0" t="n">
        <v>3.88E-005</v>
      </c>
      <c r="R303" s="0" t="n">
        <v>-1</v>
      </c>
      <c r="S303" s="0" t="n">
        <v>-1</v>
      </c>
      <c r="T303" s="0" t="n">
        <v>-1</v>
      </c>
      <c r="U303" s="0" t="n">
        <v>-1</v>
      </c>
      <c r="V303" s="0" t="s">
        <v>596</v>
      </c>
      <c r="W303" s="0" t="s">
        <v>46</v>
      </c>
      <c r="X303" s="0" t="s">
        <v>46</v>
      </c>
      <c r="Y303" s="0" t="s">
        <v>46</v>
      </c>
      <c r="Z303" s="0" t="s">
        <v>102</v>
      </c>
      <c r="AA303" s="0" t="s">
        <v>171</v>
      </c>
      <c r="AB303" s="0" t="s">
        <v>46</v>
      </c>
      <c r="AC303" s="0" t="s">
        <v>51</v>
      </c>
      <c r="AD303" s="0" t="s">
        <v>52</v>
      </c>
      <c r="AE303" s="0" t="s">
        <v>1743</v>
      </c>
      <c r="AF303" s="0" t="s">
        <v>1744</v>
      </c>
      <c r="AG303" s="0" t="s">
        <v>1745</v>
      </c>
      <c r="AH303" s="0" t="s">
        <v>46</v>
      </c>
      <c r="AI303" s="0" t="s">
        <v>46</v>
      </c>
      <c r="AJ303" s="0" t="s">
        <v>46</v>
      </c>
      <c r="AK303" s="0" t="s">
        <v>46</v>
      </c>
      <c r="AL303" s="0" t="s">
        <v>46</v>
      </c>
    </row>
    <row r="304" customFormat="false" ht="15" hidden="false" customHeight="false" outlineLevel="0" collapsed="false">
      <c r="B304" s="0" t="str">
        <f aca="false">HYPERLINK("https://genome.ucsc.edu/cgi-bin/hgTracks?db=hg19&amp;position=chr5%3A38530744%2D38530744", "chr5:38530744")</f>
        <v>chr5:38530744</v>
      </c>
      <c r="C304" s="0" t="s">
        <v>109</v>
      </c>
      <c r="D304" s="0" t="n">
        <v>38530744</v>
      </c>
      <c r="E304" s="0" t="n">
        <v>38530744</v>
      </c>
      <c r="F304" s="0" t="s">
        <v>39</v>
      </c>
      <c r="G304" s="0" t="s">
        <v>40</v>
      </c>
      <c r="H304" s="0" t="s">
        <v>775</v>
      </c>
      <c r="I304" s="0" t="s">
        <v>178</v>
      </c>
      <c r="J304" s="0" t="s">
        <v>179</v>
      </c>
      <c r="K304" s="0" t="s">
        <v>46</v>
      </c>
      <c r="L304" s="0" t="s">
        <v>46</v>
      </c>
      <c r="M304" s="0" t="str">
        <f aca="false">HYPERLINK("https://www.genecards.org/Search/Keyword?queryString=%5Baliases%5D(%20LIFR%20)&amp;keywords=LIFR", "LIFR")</f>
        <v>LIFR</v>
      </c>
      <c r="N304" s="0" t="s">
        <v>98</v>
      </c>
      <c r="O304" s="0" t="s">
        <v>99</v>
      </c>
      <c r="P304" s="0" t="s">
        <v>1746</v>
      </c>
      <c r="Q304" s="0" t="n">
        <v>-1</v>
      </c>
      <c r="R304" s="0" t="n">
        <v>-1</v>
      </c>
      <c r="S304" s="0" t="n">
        <v>-1</v>
      </c>
      <c r="T304" s="0" t="n">
        <v>-1</v>
      </c>
      <c r="U304" s="0" t="n">
        <v>-1</v>
      </c>
      <c r="V304" s="0" t="s">
        <v>600</v>
      </c>
      <c r="W304" s="0" t="s">
        <v>46</v>
      </c>
      <c r="X304" s="0" t="s">
        <v>46</v>
      </c>
      <c r="Y304" s="0" t="s">
        <v>46</v>
      </c>
      <c r="Z304" s="0" t="s">
        <v>49</v>
      </c>
      <c r="AA304" s="0" t="s">
        <v>171</v>
      </c>
      <c r="AB304" s="0" t="s">
        <v>46</v>
      </c>
      <c r="AC304" s="0" t="s">
        <v>51</v>
      </c>
      <c r="AD304" s="0" t="s">
        <v>52</v>
      </c>
      <c r="AE304" s="0" t="s">
        <v>1747</v>
      </c>
      <c r="AF304" s="0" t="s">
        <v>1748</v>
      </c>
      <c r="AG304" s="0" t="s">
        <v>1749</v>
      </c>
      <c r="AH304" s="0" t="s">
        <v>1750</v>
      </c>
      <c r="AI304" s="0" t="s">
        <v>46</v>
      </c>
      <c r="AJ304" s="0" t="s">
        <v>46</v>
      </c>
      <c r="AK304" s="0" t="s">
        <v>46</v>
      </c>
      <c r="AL304" s="0" t="s">
        <v>46</v>
      </c>
    </row>
    <row r="305" customFormat="false" ht="15" hidden="false" customHeight="false" outlineLevel="0" collapsed="false">
      <c r="B305" s="0" t="str">
        <f aca="false">HYPERLINK("https://genome.ucsc.edu/cgi-bin/hgTracks?db=hg19&amp;position=chr5%3A79366568%2D79366568", "chr5:79366568")</f>
        <v>chr5:79366568</v>
      </c>
      <c r="C305" s="0" t="s">
        <v>109</v>
      </c>
      <c r="D305" s="0" t="n">
        <v>79366568</v>
      </c>
      <c r="E305" s="0" t="n">
        <v>79366568</v>
      </c>
      <c r="F305" s="0" t="s">
        <v>69</v>
      </c>
      <c r="G305" s="0" t="s">
        <v>57</v>
      </c>
      <c r="H305" s="0" t="s">
        <v>1751</v>
      </c>
      <c r="I305" s="0" t="s">
        <v>263</v>
      </c>
      <c r="J305" s="0" t="s">
        <v>1752</v>
      </c>
      <c r="K305" s="0" t="s">
        <v>46</v>
      </c>
      <c r="L305" s="0" t="str">
        <f aca="false">HYPERLINK("https://www.ncbi.nlm.nih.gov/snp/rs373070755", "rs373070755")</f>
        <v>rs373070755</v>
      </c>
      <c r="M305" s="0" t="str">
        <f aca="false">HYPERLINK("https://www.genecards.org/Search/Keyword?queryString=%5Baliases%5D(%20THBS4%20)&amp;keywords=THBS4", "THBS4")</f>
        <v>THBS4</v>
      </c>
      <c r="N305" s="0" t="s">
        <v>98</v>
      </c>
      <c r="O305" s="0" t="s">
        <v>99</v>
      </c>
      <c r="P305" s="0" t="s">
        <v>1753</v>
      </c>
      <c r="Q305" s="0" t="n">
        <v>0.009146</v>
      </c>
      <c r="R305" s="0" t="n">
        <v>9.016E-005</v>
      </c>
      <c r="S305" s="0" t="n">
        <v>7.34E-005</v>
      </c>
      <c r="T305" s="0" t="n">
        <v>-1</v>
      </c>
      <c r="U305" s="0" t="n">
        <v>0.0002</v>
      </c>
      <c r="V305" s="0" t="s">
        <v>230</v>
      </c>
      <c r="W305" s="0" t="s">
        <v>46</v>
      </c>
      <c r="X305" s="0" t="s">
        <v>46</v>
      </c>
      <c r="Y305" s="0" t="s">
        <v>46</v>
      </c>
      <c r="Z305" s="0" t="s">
        <v>183</v>
      </c>
      <c r="AA305" s="0" t="s">
        <v>171</v>
      </c>
      <c r="AB305" s="0" t="s">
        <v>46</v>
      </c>
      <c r="AC305" s="0" t="s">
        <v>51</v>
      </c>
      <c r="AD305" s="0" t="s">
        <v>52</v>
      </c>
      <c r="AE305" s="0" t="s">
        <v>1754</v>
      </c>
      <c r="AF305" s="0" t="s">
        <v>1755</v>
      </c>
      <c r="AG305" s="0" t="s">
        <v>1756</v>
      </c>
      <c r="AH305" s="0" t="s">
        <v>46</v>
      </c>
      <c r="AI305" s="0" t="s">
        <v>46</v>
      </c>
      <c r="AJ305" s="0" t="s">
        <v>46</v>
      </c>
      <c r="AK305" s="0" t="s">
        <v>46</v>
      </c>
      <c r="AL305" s="0" t="s">
        <v>46</v>
      </c>
    </row>
    <row r="306" customFormat="false" ht="15" hidden="false" customHeight="false" outlineLevel="0" collapsed="false">
      <c r="B306" s="0" t="str">
        <f aca="false">HYPERLINK("https://genome.ucsc.edu/cgi-bin/hgTracks?db=hg19&amp;position=chr5%3A83362361%2D83362361", "chr5:83362361")</f>
        <v>chr5:83362361</v>
      </c>
      <c r="C306" s="0" t="s">
        <v>109</v>
      </c>
      <c r="D306" s="0" t="n">
        <v>83362361</v>
      </c>
      <c r="E306" s="0" t="n">
        <v>83362361</v>
      </c>
      <c r="F306" s="0" t="s">
        <v>39</v>
      </c>
      <c r="G306" s="0" t="s">
        <v>40</v>
      </c>
      <c r="H306" s="0" t="s">
        <v>601</v>
      </c>
      <c r="I306" s="0" t="s">
        <v>111</v>
      </c>
      <c r="J306" s="0" t="s">
        <v>907</v>
      </c>
      <c r="K306" s="0" t="s">
        <v>46</v>
      </c>
      <c r="L306" s="0" t="s">
        <v>46</v>
      </c>
      <c r="M306" s="0" t="str">
        <f aca="false">HYPERLINK("https://www.genecards.org/Search/Keyword?queryString=%5Baliases%5D(%20EDIL3%20)&amp;keywords=EDIL3", "EDIL3")</f>
        <v>EDIL3</v>
      </c>
      <c r="N306" s="0" t="s">
        <v>98</v>
      </c>
      <c r="O306" s="0" t="s">
        <v>99</v>
      </c>
      <c r="P306" s="0" t="s">
        <v>1757</v>
      </c>
      <c r="Q306" s="0" t="n">
        <v>-1</v>
      </c>
      <c r="R306" s="0" t="n">
        <v>-1</v>
      </c>
      <c r="S306" s="0" t="n">
        <v>-1</v>
      </c>
      <c r="T306" s="0" t="n">
        <v>-1</v>
      </c>
      <c r="U306" s="0" t="n">
        <v>-1</v>
      </c>
      <c r="V306" s="0" t="s">
        <v>596</v>
      </c>
      <c r="W306" s="0" t="s">
        <v>46</v>
      </c>
      <c r="X306" s="0" t="s">
        <v>46</v>
      </c>
      <c r="Y306" s="0" t="s">
        <v>46</v>
      </c>
      <c r="Z306" s="0" t="s">
        <v>102</v>
      </c>
      <c r="AA306" s="0" t="s">
        <v>171</v>
      </c>
      <c r="AB306" s="0" t="s">
        <v>46</v>
      </c>
      <c r="AC306" s="0" t="s">
        <v>51</v>
      </c>
      <c r="AD306" s="0" t="s">
        <v>52</v>
      </c>
      <c r="AE306" s="0" t="s">
        <v>1758</v>
      </c>
      <c r="AF306" s="0" t="s">
        <v>1759</v>
      </c>
      <c r="AG306" s="0" t="s">
        <v>1760</v>
      </c>
      <c r="AH306" s="0" t="s">
        <v>46</v>
      </c>
      <c r="AI306" s="0" t="s">
        <v>46</v>
      </c>
      <c r="AJ306" s="0" t="s">
        <v>46</v>
      </c>
      <c r="AK306" s="0" t="s">
        <v>46</v>
      </c>
      <c r="AL306" s="0" t="s">
        <v>46</v>
      </c>
    </row>
    <row r="307" customFormat="false" ht="15" hidden="false" customHeight="false" outlineLevel="0" collapsed="false">
      <c r="B307" s="0" t="str">
        <f aca="false">HYPERLINK("https://genome.ucsc.edu/cgi-bin/hgTracks?db=hg19&amp;position=chr5%3A89695351%2D89695351", "chr5:89695351")</f>
        <v>chr5:89695351</v>
      </c>
      <c r="C307" s="0" t="s">
        <v>109</v>
      </c>
      <c r="D307" s="0" t="n">
        <v>89695351</v>
      </c>
      <c r="E307" s="0" t="n">
        <v>89695351</v>
      </c>
      <c r="F307" s="0" t="s">
        <v>57</v>
      </c>
      <c r="G307" s="0" t="s">
        <v>69</v>
      </c>
      <c r="H307" s="0" t="s">
        <v>815</v>
      </c>
      <c r="I307" s="0" t="s">
        <v>421</v>
      </c>
      <c r="J307" s="0" t="s">
        <v>861</v>
      </c>
      <c r="K307" s="0" t="s">
        <v>46</v>
      </c>
      <c r="L307" s="0" t="s">
        <v>46</v>
      </c>
      <c r="M307" s="0" t="str">
        <f aca="false">HYPERLINK("https://www.genecards.org/Search/Keyword?queryString=%5Baliases%5D(%20CETN3%20)&amp;keywords=CETN3", "CETN3")</f>
        <v>CETN3</v>
      </c>
      <c r="N307" s="0" t="s">
        <v>98</v>
      </c>
      <c r="O307" s="0" t="s">
        <v>99</v>
      </c>
      <c r="P307" s="0" t="s">
        <v>1761</v>
      </c>
      <c r="Q307" s="0" t="n">
        <v>-1</v>
      </c>
      <c r="R307" s="0" t="n">
        <v>-1</v>
      </c>
      <c r="S307" s="0" t="n">
        <v>-1</v>
      </c>
      <c r="T307" s="0" t="n">
        <v>-1</v>
      </c>
      <c r="U307" s="0" t="n">
        <v>-1</v>
      </c>
      <c r="V307" s="0" t="s">
        <v>688</v>
      </c>
      <c r="W307" s="0" t="s">
        <v>46</v>
      </c>
      <c r="X307" s="0" t="s">
        <v>46</v>
      </c>
      <c r="Y307" s="0" t="s">
        <v>46</v>
      </c>
      <c r="Z307" s="0" t="s">
        <v>240</v>
      </c>
      <c r="AA307" s="0" t="s">
        <v>171</v>
      </c>
      <c r="AB307" s="0" t="s">
        <v>46</v>
      </c>
      <c r="AC307" s="0" t="s">
        <v>51</v>
      </c>
      <c r="AD307" s="0" t="s">
        <v>52</v>
      </c>
      <c r="AE307" s="0" t="s">
        <v>1762</v>
      </c>
      <c r="AF307" s="0" t="s">
        <v>1763</v>
      </c>
      <c r="AG307" s="0" t="s">
        <v>1764</v>
      </c>
      <c r="AH307" s="0" t="s">
        <v>46</v>
      </c>
      <c r="AI307" s="0" t="s">
        <v>46</v>
      </c>
      <c r="AJ307" s="0" t="s">
        <v>46</v>
      </c>
      <c r="AK307" s="0" t="s">
        <v>46</v>
      </c>
      <c r="AL307" s="0" t="s">
        <v>46</v>
      </c>
    </row>
    <row r="308" customFormat="false" ht="15" hidden="false" customHeight="false" outlineLevel="0" collapsed="false">
      <c r="B308" s="0" t="str">
        <f aca="false">HYPERLINK("https://genome.ucsc.edu/cgi-bin/hgTracks?db=hg19&amp;position=chr5%3A132534965%2D132534965", "chr5:132534965")</f>
        <v>chr5:132534965</v>
      </c>
      <c r="C308" s="0" t="s">
        <v>109</v>
      </c>
      <c r="D308" s="0" t="n">
        <v>132534965</v>
      </c>
      <c r="E308" s="0" t="n">
        <v>132534965</v>
      </c>
      <c r="F308" s="0" t="s">
        <v>69</v>
      </c>
      <c r="G308" s="0" t="s">
        <v>57</v>
      </c>
      <c r="H308" s="0" t="s">
        <v>1765</v>
      </c>
      <c r="I308" s="0" t="s">
        <v>520</v>
      </c>
      <c r="J308" s="0" t="s">
        <v>1766</v>
      </c>
      <c r="K308" s="0" t="s">
        <v>46</v>
      </c>
      <c r="L308" s="0" t="str">
        <f aca="false">HYPERLINK("https://www.ncbi.nlm.nih.gov/snp/rs143403129", "rs143403129")</f>
        <v>rs143403129</v>
      </c>
      <c r="M308" s="0" t="str">
        <f aca="false">HYPERLINK("https://www.genecards.org/Search/Keyword?queryString=%5Baliases%5D(%20FSTL4%20)&amp;keywords=FSTL4", "FSTL4")</f>
        <v>FSTL4</v>
      </c>
      <c r="N308" s="0" t="s">
        <v>98</v>
      </c>
      <c r="O308" s="0" t="s">
        <v>99</v>
      </c>
      <c r="P308" s="0" t="s">
        <v>1767</v>
      </c>
      <c r="Q308" s="0" t="n">
        <v>0.0102</v>
      </c>
      <c r="R308" s="0" t="n">
        <v>0.0022</v>
      </c>
      <c r="S308" s="0" t="n">
        <v>0.002</v>
      </c>
      <c r="T308" s="0" t="n">
        <v>-1</v>
      </c>
      <c r="U308" s="0" t="n">
        <v>0.0038</v>
      </c>
      <c r="V308" s="0" t="s">
        <v>158</v>
      </c>
      <c r="W308" s="0" t="s">
        <v>46</v>
      </c>
      <c r="X308" s="0" t="s">
        <v>46</v>
      </c>
      <c r="Y308" s="0" t="s">
        <v>46</v>
      </c>
      <c r="Z308" s="0" t="s">
        <v>49</v>
      </c>
      <c r="AA308" s="0" t="s">
        <v>171</v>
      </c>
      <c r="AB308" s="0" t="s">
        <v>46</v>
      </c>
      <c r="AC308" s="0" t="s">
        <v>51</v>
      </c>
      <c r="AD308" s="0" t="s">
        <v>52</v>
      </c>
      <c r="AE308" s="0" t="s">
        <v>1768</v>
      </c>
      <c r="AF308" s="0" t="s">
        <v>1769</v>
      </c>
      <c r="AG308" s="0" t="s">
        <v>46</v>
      </c>
      <c r="AH308" s="0" t="s">
        <v>46</v>
      </c>
      <c r="AI308" s="0" t="s">
        <v>46</v>
      </c>
      <c r="AJ308" s="0" t="s">
        <v>46</v>
      </c>
      <c r="AK308" s="0" t="s">
        <v>46</v>
      </c>
      <c r="AL308" s="0" t="s">
        <v>46</v>
      </c>
    </row>
    <row r="309" customFormat="false" ht="15" hidden="false" customHeight="false" outlineLevel="0" collapsed="false">
      <c r="B309" s="0" t="str">
        <f aca="false">HYPERLINK("https://genome.ucsc.edu/cgi-bin/hgTracks?db=hg19&amp;position=chr5%3A140531099%2D140531099", "chr5:140531099")</f>
        <v>chr5:140531099</v>
      </c>
      <c r="C309" s="0" t="s">
        <v>109</v>
      </c>
      <c r="D309" s="0" t="n">
        <v>140531099</v>
      </c>
      <c r="E309" s="0" t="n">
        <v>140531099</v>
      </c>
      <c r="F309" s="0" t="s">
        <v>69</v>
      </c>
      <c r="G309" s="0" t="s">
        <v>57</v>
      </c>
      <c r="H309" s="0" t="s">
        <v>1770</v>
      </c>
      <c r="I309" s="0" t="s">
        <v>1771</v>
      </c>
      <c r="J309" s="0" t="s">
        <v>1772</v>
      </c>
      <c r="K309" s="0" t="s">
        <v>46</v>
      </c>
      <c r="L309" s="0" t="str">
        <f aca="false">HYPERLINK("https://www.ncbi.nlm.nih.gov/snp/rs115507686", "rs115507686")</f>
        <v>rs115507686</v>
      </c>
      <c r="M309" s="0" t="str">
        <f aca="false">HYPERLINK("https://www.genecards.org/Search/Keyword?queryString=%5Baliases%5D(%20PCDHB6%20)&amp;keywords=PCDHB6", "PCDHB6")</f>
        <v>PCDHB6</v>
      </c>
      <c r="N309" s="0" t="s">
        <v>98</v>
      </c>
      <c r="O309" s="0" t="s">
        <v>99</v>
      </c>
      <c r="P309" s="0" t="s">
        <v>1773</v>
      </c>
      <c r="Q309" s="0" t="n">
        <v>0.0202</v>
      </c>
      <c r="R309" s="0" t="n">
        <v>0.0141</v>
      </c>
      <c r="S309" s="0" t="n">
        <v>0.0129</v>
      </c>
      <c r="T309" s="0" t="n">
        <v>-1</v>
      </c>
      <c r="U309" s="0" t="n">
        <v>0.0156</v>
      </c>
      <c r="V309" s="0" t="s">
        <v>663</v>
      </c>
      <c r="W309" s="0" t="s">
        <v>46</v>
      </c>
      <c r="X309" s="0" t="s">
        <v>46</v>
      </c>
      <c r="Y309" s="0" t="s">
        <v>46</v>
      </c>
      <c r="Z309" s="0" t="s">
        <v>49</v>
      </c>
      <c r="AA309" s="0" t="s">
        <v>171</v>
      </c>
      <c r="AB309" s="0" t="s">
        <v>46</v>
      </c>
      <c r="AC309" s="0" t="s">
        <v>51</v>
      </c>
      <c r="AD309" s="0" t="s">
        <v>52</v>
      </c>
      <c r="AE309" s="0" t="s">
        <v>1774</v>
      </c>
      <c r="AF309" s="0" t="s">
        <v>1775</v>
      </c>
      <c r="AG309" s="0" t="s">
        <v>1776</v>
      </c>
      <c r="AH309" s="0" t="s">
        <v>46</v>
      </c>
      <c r="AI309" s="0" t="s">
        <v>46</v>
      </c>
      <c r="AJ309" s="0" t="s">
        <v>46</v>
      </c>
      <c r="AK309" s="0" t="s">
        <v>1777</v>
      </c>
      <c r="AL309" s="0" t="s">
        <v>584</v>
      </c>
    </row>
    <row r="310" customFormat="false" ht="15" hidden="false" customHeight="false" outlineLevel="0" collapsed="false">
      <c r="B310" s="0" t="str">
        <f aca="false">HYPERLINK("https://genome.ucsc.edu/cgi-bin/hgTracks?db=hg19&amp;position=chr5%3A140755586%2D140755586", "chr5:140755586")</f>
        <v>chr5:140755586</v>
      </c>
      <c r="C310" s="0" t="s">
        <v>109</v>
      </c>
      <c r="D310" s="0" t="n">
        <v>140755586</v>
      </c>
      <c r="E310" s="0" t="n">
        <v>140755586</v>
      </c>
      <c r="F310" s="0" t="s">
        <v>69</v>
      </c>
      <c r="G310" s="0" t="s">
        <v>57</v>
      </c>
      <c r="H310" s="0" t="s">
        <v>1778</v>
      </c>
      <c r="I310" s="0" t="s">
        <v>982</v>
      </c>
      <c r="J310" s="0" t="s">
        <v>1779</v>
      </c>
      <c r="K310" s="0" t="s">
        <v>46</v>
      </c>
      <c r="L310" s="0" t="str">
        <f aca="false">HYPERLINK("https://www.ncbi.nlm.nih.gov/snp/rs765198459", "rs765198459")</f>
        <v>rs765198459</v>
      </c>
      <c r="M310" s="0" t="str">
        <f aca="false">HYPERLINK("https://www.genecards.org/Search/Keyword?queryString=%5Baliases%5D(%20PCDHGA6%20)&amp;keywords=PCDHGA6", "PCDHGA6")</f>
        <v>PCDHGA6</v>
      </c>
      <c r="N310" s="0" t="s">
        <v>98</v>
      </c>
      <c r="O310" s="0" t="s">
        <v>99</v>
      </c>
      <c r="P310" s="0" t="s">
        <v>1780</v>
      </c>
      <c r="Q310" s="0" t="n">
        <v>0.0012</v>
      </c>
      <c r="R310" s="0" t="n">
        <v>-1</v>
      </c>
      <c r="S310" s="0" t="n">
        <v>-1</v>
      </c>
      <c r="T310" s="0" t="n">
        <v>-1</v>
      </c>
      <c r="U310" s="0" t="n">
        <v>-1</v>
      </c>
      <c r="V310" s="0" t="s">
        <v>170</v>
      </c>
      <c r="W310" s="0" t="s">
        <v>46</v>
      </c>
      <c r="X310" s="0" t="s">
        <v>46</v>
      </c>
      <c r="Y310" s="0" t="s">
        <v>46</v>
      </c>
      <c r="Z310" s="0" t="s">
        <v>138</v>
      </c>
      <c r="AA310" s="0" t="s">
        <v>171</v>
      </c>
      <c r="AB310" s="0" t="s">
        <v>46</v>
      </c>
      <c r="AC310" s="0" t="s">
        <v>51</v>
      </c>
      <c r="AD310" s="0" t="s">
        <v>52</v>
      </c>
      <c r="AE310" s="0" t="s">
        <v>1781</v>
      </c>
      <c r="AF310" s="0" t="s">
        <v>1782</v>
      </c>
      <c r="AG310" s="0" t="s">
        <v>1776</v>
      </c>
      <c r="AH310" s="0" t="s">
        <v>46</v>
      </c>
      <c r="AI310" s="0" t="s">
        <v>46</v>
      </c>
      <c r="AJ310" s="0" t="s">
        <v>46</v>
      </c>
      <c r="AK310" s="0" t="s">
        <v>1777</v>
      </c>
      <c r="AL310" s="0" t="s">
        <v>584</v>
      </c>
    </row>
    <row r="311" customFormat="false" ht="15" hidden="false" customHeight="false" outlineLevel="0" collapsed="false">
      <c r="B311" s="0" t="str">
        <f aca="false">HYPERLINK("https://genome.ucsc.edu/cgi-bin/hgTracks?db=hg19&amp;position=chr5%3A140802466%2D140802466", "chr5:140802466")</f>
        <v>chr5:140802466</v>
      </c>
      <c r="C311" s="0" t="s">
        <v>109</v>
      </c>
      <c r="D311" s="0" t="n">
        <v>140802466</v>
      </c>
      <c r="E311" s="0" t="n">
        <v>140802466</v>
      </c>
      <c r="F311" s="0" t="s">
        <v>69</v>
      </c>
      <c r="G311" s="0" t="s">
        <v>39</v>
      </c>
      <c r="H311" s="0" t="s">
        <v>1783</v>
      </c>
      <c r="I311" s="0" t="s">
        <v>1784</v>
      </c>
      <c r="J311" s="0" t="s">
        <v>1785</v>
      </c>
      <c r="K311" s="0" t="s">
        <v>46</v>
      </c>
      <c r="L311" s="0" t="str">
        <f aca="false">HYPERLINK("https://www.ncbi.nlm.nih.gov/snp/rs759972749", "rs759972749")</f>
        <v>rs759972749</v>
      </c>
      <c r="M311" s="0" t="str">
        <f aca="false">HYPERLINK("https://www.genecards.org/Search/Keyword?queryString=%5Baliases%5D(%20PCDHGA11%20)&amp;keywords=PCDHGA11", "PCDHGA11")</f>
        <v>PCDHGA11</v>
      </c>
      <c r="N311" s="0" t="s">
        <v>98</v>
      </c>
      <c r="O311" s="0" t="s">
        <v>99</v>
      </c>
      <c r="P311" s="0" t="s">
        <v>1786</v>
      </c>
      <c r="Q311" s="0" t="n">
        <v>1.29E-005</v>
      </c>
      <c r="R311" s="0" t="n">
        <v>-1</v>
      </c>
      <c r="S311" s="0" t="n">
        <v>-1</v>
      </c>
      <c r="T311" s="0" t="n">
        <v>-1</v>
      </c>
      <c r="U311" s="0" t="n">
        <v>-1</v>
      </c>
      <c r="V311" s="0" t="s">
        <v>101</v>
      </c>
      <c r="W311" s="0" t="s">
        <v>46</v>
      </c>
      <c r="X311" s="0" t="s">
        <v>46</v>
      </c>
      <c r="Y311" s="0" t="s">
        <v>46</v>
      </c>
      <c r="Z311" s="0" t="s">
        <v>102</v>
      </c>
      <c r="AA311" s="0" t="s">
        <v>171</v>
      </c>
      <c r="AB311" s="0" t="s">
        <v>46</v>
      </c>
      <c r="AC311" s="0" t="s">
        <v>51</v>
      </c>
      <c r="AD311" s="0" t="s">
        <v>52</v>
      </c>
      <c r="AE311" s="0" t="s">
        <v>1787</v>
      </c>
      <c r="AF311" s="0" t="s">
        <v>1788</v>
      </c>
      <c r="AG311" s="0" t="s">
        <v>1776</v>
      </c>
      <c r="AH311" s="0" t="s">
        <v>46</v>
      </c>
      <c r="AI311" s="0" t="s">
        <v>46</v>
      </c>
      <c r="AJ311" s="0" t="s">
        <v>46</v>
      </c>
      <c r="AK311" s="0" t="s">
        <v>1777</v>
      </c>
      <c r="AL311" s="0" t="s">
        <v>46</v>
      </c>
    </row>
    <row r="312" customFormat="false" ht="15" hidden="false" customHeight="false" outlineLevel="0" collapsed="false">
      <c r="B312" s="0" t="str">
        <f aca="false">HYPERLINK("https://genome.ucsc.edu/cgi-bin/hgTracks?db=hg19&amp;position=chr5%3A143586755%2D143586755", "chr5:143586755")</f>
        <v>chr5:143586755</v>
      </c>
      <c r="C312" s="0" t="s">
        <v>109</v>
      </c>
      <c r="D312" s="0" t="n">
        <v>143586755</v>
      </c>
      <c r="E312" s="0" t="n">
        <v>143586755</v>
      </c>
      <c r="F312" s="0" t="s">
        <v>69</v>
      </c>
      <c r="G312" s="0" t="s">
        <v>57</v>
      </c>
      <c r="H312" s="0" t="s">
        <v>1789</v>
      </c>
      <c r="I312" s="0" t="s">
        <v>578</v>
      </c>
      <c r="J312" s="0" t="s">
        <v>1790</v>
      </c>
      <c r="K312" s="0" t="s">
        <v>46</v>
      </c>
      <c r="L312" s="0" t="str">
        <f aca="false">HYPERLINK("https://www.ncbi.nlm.nih.gov/snp/rs148158462", "rs148158462")</f>
        <v>rs148158462</v>
      </c>
      <c r="M312" s="0" t="str">
        <f aca="false">HYPERLINK("https://www.genecards.org/Search/Keyword?queryString=%5Baliases%5D(%20KCTD16%20)&amp;keywords=KCTD16", "KCTD16")</f>
        <v>KCTD16</v>
      </c>
      <c r="N312" s="0" t="s">
        <v>98</v>
      </c>
      <c r="O312" s="0" t="s">
        <v>99</v>
      </c>
      <c r="P312" s="0" t="s">
        <v>1791</v>
      </c>
      <c r="Q312" s="0" t="n">
        <v>0.007576</v>
      </c>
      <c r="R312" s="0" t="n">
        <v>0.0083</v>
      </c>
      <c r="S312" s="0" t="n">
        <v>0.007</v>
      </c>
      <c r="T312" s="0" t="n">
        <v>-1</v>
      </c>
      <c r="U312" s="0" t="n">
        <v>0.0092</v>
      </c>
      <c r="V312" s="0" t="s">
        <v>257</v>
      </c>
      <c r="W312" s="0" t="s">
        <v>46</v>
      </c>
      <c r="X312" s="0" t="s">
        <v>46</v>
      </c>
      <c r="Y312" s="0" t="s">
        <v>46</v>
      </c>
      <c r="Z312" s="0" t="s">
        <v>183</v>
      </c>
      <c r="AA312" s="0" t="s">
        <v>171</v>
      </c>
      <c r="AB312" s="0" t="s">
        <v>46</v>
      </c>
      <c r="AC312" s="0" t="s">
        <v>51</v>
      </c>
      <c r="AD312" s="0" t="s">
        <v>52</v>
      </c>
      <c r="AE312" s="0" t="s">
        <v>1792</v>
      </c>
      <c r="AF312" s="0" t="s">
        <v>1793</v>
      </c>
      <c r="AG312" s="0" t="s">
        <v>1794</v>
      </c>
      <c r="AH312" s="0" t="s">
        <v>46</v>
      </c>
      <c r="AI312" s="0" t="s">
        <v>46</v>
      </c>
      <c r="AJ312" s="0" t="s">
        <v>46</v>
      </c>
      <c r="AK312" s="0" t="s">
        <v>46</v>
      </c>
      <c r="AL312" s="0" t="s">
        <v>46</v>
      </c>
    </row>
    <row r="313" customFormat="false" ht="15" hidden="false" customHeight="false" outlineLevel="0" collapsed="false">
      <c r="B313" s="0" t="str">
        <f aca="false">HYPERLINK("https://genome.ucsc.edu/cgi-bin/hgTracks?db=hg19&amp;position=chr5%3A146080626%2D146080626", "chr5:146080626")</f>
        <v>chr5:146080626</v>
      </c>
      <c r="C313" s="0" t="s">
        <v>109</v>
      </c>
      <c r="D313" s="0" t="n">
        <v>146080626</v>
      </c>
      <c r="E313" s="0" t="n">
        <v>146080626</v>
      </c>
      <c r="F313" s="0" t="s">
        <v>40</v>
      </c>
      <c r="G313" s="0" t="s">
        <v>39</v>
      </c>
      <c r="H313" s="0" t="s">
        <v>1795</v>
      </c>
      <c r="I313" s="0" t="s">
        <v>618</v>
      </c>
      <c r="J313" s="0" t="s">
        <v>619</v>
      </c>
      <c r="K313" s="0" t="s">
        <v>46</v>
      </c>
      <c r="L313" s="0" t="str">
        <f aca="false">HYPERLINK("https://www.ncbi.nlm.nih.gov/snp/rs140556908", "rs140556908")</f>
        <v>rs140556908</v>
      </c>
      <c r="M313" s="0" t="str">
        <f aca="false">HYPERLINK("https://www.genecards.org/Search/Keyword?queryString=%5Baliases%5D(%20PPP2R2B%20)&amp;keywords=PPP2R2B", "PPP2R2B")</f>
        <v>PPP2R2B</v>
      </c>
      <c r="N313" s="0" t="s">
        <v>98</v>
      </c>
      <c r="O313" s="0" t="s">
        <v>99</v>
      </c>
      <c r="P313" s="0" t="s">
        <v>1796</v>
      </c>
      <c r="Q313" s="0" t="n">
        <v>0.0023</v>
      </c>
      <c r="R313" s="0" t="n">
        <v>0.002</v>
      </c>
      <c r="S313" s="0" t="n">
        <v>0.0018</v>
      </c>
      <c r="T313" s="0" t="n">
        <v>-1</v>
      </c>
      <c r="U313" s="0" t="n">
        <v>0.0038</v>
      </c>
      <c r="V313" s="0" t="s">
        <v>291</v>
      </c>
      <c r="W313" s="0" t="s">
        <v>46</v>
      </c>
      <c r="X313" s="0" t="s">
        <v>46</v>
      </c>
      <c r="Y313" s="0" t="s">
        <v>46</v>
      </c>
      <c r="Z313" s="0" t="s">
        <v>183</v>
      </c>
      <c r="AA313" s="0" t="s">
        <v>171</v>
      </c>
      <c r="AB313" s="0" t="s">
        <v>46</v>
      </c>
      <c r="AC313" s="0" t="s">
        <v>51</v>
      </c>
      <c r="AD313" s="0" t="s">
        <v>52</v>
      </c>
      <c r="AE313" s="0" t="s">
        <v>1797</v>
      </c>
      <c r="AF313" s="0" t="s">
        <v>1798</v>
      </c>
      <c r="AG313" s="0" t="s">
        <v>1799</v>
      </c>
      <c r="AH313" s="0" t="s">
        <v>1800</v>
      </c>
      <c r="AI313" s="0" t="s">
        <v>46</v>
      </c>
      <c r="AJ313" s="0" t="s">
        <v>46</v>
      </c>
      <c r="AK313" s="0" t="s">
        <v>46</v>
      </c>
      <c r="AL313" s="0" t="s">
        <v>46</v>
      </c>
    </row>
    <row r="314" customFormat="false" ht="15" hidden="false" customHeight="false" outlineLevel="0" collapsed="false">
      <c r="B314" s="0" t="str">
        <f aca="false">HYPERLINK("https://genome.ucsc.edu/cgi-bin/hgTracks?db=hg19&amp;position=chr5%3A176072210%2D176072210", "chr5:176072210")</f>
        <v>chr5:176072210</v>
      </c>
      <c r="C314" s="0" t="s">
        <v>109</v>
      </c>
      <c r="D314" s="0" t="n">
        <v>176072210</v>
      </c>
      <c r="E314" s="0" t="n">
        <v>176072210</v>
      </c>
      <c r="F314" s="0" t="s">
        <v>69</v>
      </c>
      <c r="G314" s="0" t="s">
        <v>57</v>
      </c>
      <c r="H314" s="0" t="s">
        <v>1801</v>
      </c>
      <c r="I314" s="0" t="s">
        <v>756</v>
      </c>
      <c r="J314" s="0" t="s">
        <v>1728</v>
      </c>
      <c r="K314" s="0" t="s">
        <v>46</v>
      </c>
      <c r="L314" s="0" t="str">
        <f aca="false">HYPERLINK("https://www.ncbi.nlm.nih.gov/snp/rs115365515", "rs115365515")</f>
        <v>rs115365515</v>
      </c>
      <c r="M314" s="0" t="str">
        <f aca="false">HYPERLINK("https://www.genecards.org/Search/Keyword?queryString=%5Baliases%5D(%20EIF4E1B%20)&amp;keywords=EIF4E1B", "EIF4E1B")</f>
        <v>EIF4E1B</v>
      </c>
      <c r="N314" s="0" t="s">
        <v>98</v>
      </c>
      <c r="O314" s="0" t="s">
        <v>99</v>
      </c>
      <c r="P314" s="0" t="s">
        <v>1802</v>
      </c>
      <c r="Q314" s="0" t="n">
        <v>0.008</v>
      </c>
      <c r="R314" s="0" t="n">
        <v>0.0064</v>
      </c>
      <c r="S314" s="0" t="n">
        <v>0.0072</v>
      </c>
      <c r="T314" s="0" t="n">
        <v>-1</v>
      </c>
      <c r="U314" s="0" t="n">
        <v>0.0081</v>
      </c>
      <c r="V314" s="0" t="s">
        <v>323</v>
      </c>
      <c r="W314" s="0" t="s">
        <v>46</v>
      </c>
      <c r="X314" s="0" t="s">
        <v>46</v>
      </c>
      <c r="Y314" s="0" t="s">
        <v>46</v>
      </c>
      <c r="Z314" s="0" t="s">
        <v>102</v>
      </c>
      <c r="AA314" s="0" t="s">
        <v>171</v>
      </c>
      <c r="AB314" s="0" t="s">
        <v>46</v>
      </c>
      <c r="AC314" s="0" t="s">
        <v>51</v>
      </c>
      <c r="AD314" s="0" t="s">
        <v>52</v>
      </c>
      <c r="AE314" s="0" t="s">
        <v>1803</v>
      </c>
      <c r="AF314" s="0" t="s">
        <v>1804</v>
      </c>
      <c r="AG314" s="0" t="s">
        <v>1805</v>
      </c>
      <c r="AH314" s="0" t="s">
        <v>46</v>
      </c>
      <c r="AI314" s="0" t="s">
        <v>46</v>
      </c>
      <c r="AJ314" s="0" t="s">
        <v>46</v>
      </c>
      <c r="AK314" s="0" t="s">
        <v>46</v>
      </c>
      <c r="AL314" s="0" t="s">
        <v>46</v>
      </c>
    </row>
    <row r="315" customFormat="false" ht="15" hidden="false" customHeight="false" outlineLevel="0" collapsed="false">
      <c r="B315" s="0" t="str">
        <f aca="false">HYPERLINK("https://genome.ucsc.edu/cgi-bin/hgTracks?db=hg19&amp;position=chr6%3A31116409%2D31116409", "chr6:31116409")</f>
        <v>chr6:31116409</v>
      </c>
      <c r="C315" s="0" t="s">
        <v>164</v>
      </c>
      <c r="D315" s="0" t="n">
        <v>31116409</v>
      </c>
      <c r="E315" s="0" t="n">
        <v>31116409</v>
      </c>
      <c r="F315" s="0" t="s">
        <v>69</v>
      </c>
      <c r="G315" s="0" t="s">
        <v>57</v>
      </c>
      <c r="H315" s="0" t="s">
        <v>1806</v>
      </c>
      <c r="I315" s="0" t="s">
        <v>578</v>
      </c>
      <c r="J315" s="0" t="s">
        <v>1807</v>
      </c>
      <c r="K315" s="0" t="s">
        <v>46</v>
      </c>
      <c r="L315" s="0" t="str">
        <f aca="false">HYPERLINK("https://www.ncbi.nlm.nih.gov/snp/rs138683119", "rs138683119")</f>
        <v>rs138683119</v>
      </c>
      <c r="M315" s="0" t="str">
        <f aca="false">HYPERLINK("https://www.genecards.org/Search/Keyword?queryString=%5Baliases%5D(%20CCHCR1%20)&amp;keywords=CCHCR1", "CCHCR1")</f>
        <v>CCHCR1</v>
      </c>
      <c r="N315" s="0" t="s">
        <v>98</v>
      </c>
      <c r="O315" s="0" t="s">
        <v>99</v>
      </c>
      <c r="P315" s="0" t="s">
        <v>1808</v>
      </c>
      <c r="Q315" s="0" t="n">
        <v>0.015152</v>
      </c>
      <c r="R315" s="0" t="n">
        <v>0.005</v>
      </c>
      <c r="S315" s="0" t="n">
        <v>0.0054</v>
      </c>
      <c r="T315" s="0" t="n">
        <v>-1</v>
      </c>
      <c r="U315" s="0" t="n">
        <v>0.0081</v>
      </c>
      <c r="V315" s="0" t="s">
        <v>230</v>
      </c>
      <c r="W315" s="0" t="s">
        <v>46</v>
      </c>
      <c r="X315" s="0" t="s">
        <v>46</v>
      </c>
      <c r="Y315" s="0" t="s">
        <v>46</v>
      </c>
      <c r="Z315" s="0" t="s">
        <v>138</v>
      </c>
      <c r="AA315" s="0" t="s">
        <v>171</v>
      </c>
      <c r="AB315" s="0" t="s">
        <v>46</v>
      </c>
      <c r="AC315" s="0" t="s">
        <v>51</v>
      </c>
      <c r="AD315" s="0" t="s">
        <v>52</v>
      </c>
      <c r="AE315" s="0" t="s">
        <v>1809</v>
      </c>
      <c r="AF315" s="0" t="s">
        <v>1810</v>
      </c>
      <c r="AG315" s="0" t="s">
        <v>1811</v>
      </c>
      <c r="AH315" s="0" t="s">
        <v>46</v>
      </c>
      <c r="AI315" s="0" t="s">
        <v>46</v>
      </c>
      <c r="AJ315" s="0" t="s">
        <v>46</v>
      </c>
      <c r="AK315" s="0" t="s">
        <v>175</v>
      </c>
      <c r="AL315" s="0" t="s">
        <v>46</v>
      </c>
    </row>
    <row r="316" customFormat="false" ht="15" hidden="false" customHeight="false" outlineLevel="0" collapsed="false">
      <c r="B316" s="0" t="str">
        <f aca="false">HYPERLINK("https://genome.ucsc.edu/cgi-bin/hgTracks?db=hg19&amp;position=chr6%3A32188815%2D32188815", "chr6:32188815")</f>
        <v>chr6:32188815</v>
      </c>
      <c r="C316" s="0" t="s">
        <v>164</v>
      </c>
      <c r="D316" s="0" t="n">
        <v>32188815</v>
      </c>
      <c r="E316" s="0" t="n">
        <v>32188815</v>
      </c>
      <c r="F316" s="0" t="s">
        <v>39</v>
      </c>
      <c r="G316" s="0" t="s">
        <v>69</v>
      </c>
      <c r="H316" s="0" t="s">
        <v>1812</v>
      </c>
      <c r="I316" s="0" t="s">
        <v>772</v>
      </c>
      <c r="J316" s="0" t="s">
        <v>1813</v>
      </c>
      <c r="K316" s="0" t="s">
        <v>46</v>
      </c>
      <c r="L316" s="0" t="str">
        <f aca="false">HYPERLINK("https://www.ncbi.nlm.nih.gov/snp/rs8192586", "rs8192586")</f>
        <v>rs8192586</v>
      </c>
      <c r="M316" s="0" t="str">
        <f aca="false">HYPERLINK("https://www.genecards.org/Search/Keyword?queryString=%5Baliases%5D(%20NOTCH4%20)&amp;keywords=NOTCH4", "NOTCH4")</f>
        <v>NOTCH4</v>
      </c>
      <c r="N316" s="0" t="s">
        <v>98</v>
      </c>
      <c r="O316" s="0" t="s">
        <v>99</v>
      </c>
      <c r="P316" s="0" t="s">
        <v>1814</v>
      </c>
      <c r="Q316" s="0" t="n">
        <v>0.027174</v>
      </c>
      <c r="R316" s="0" t="n">
        <v>0.017</v>
      </c>
      <c r="S316" s="0" t="n">
        <v>0.0183</v>
      </c>
      <c r="T316" s="0" t="n">
        <v>-1</v>
      </c>
      <c r="U316" s="0" t="n">
        <v>0.0163</v>
      </c>
      <c r="V316" s="0" t="s">
        <v>515</v>
      </c>
      <c r="W316" s="0" t="s">
        <v>46</v>
      </c>
      <c r="X316" s="0" t="s">
        <v>46</v>
      </c>
      <c r="Y316" s="0" t="s">
        <v>46</v>
      </c>
      <c r="Z316" s="0" t="s">
        <v>231</v>
      </c>
      <c r="AA316" s="0" t="s">
        <v>171</v>
      </c>
      <c r="AB316" s="0" t="s">
        <v>46</v>
      </c>
      <c r="AC316" s="0" t="s">
        <v>51</v>
      </c>
      <c r="AD316" s="0" t="s">
        <v>52</v>
      </c>
      <c r="AE316" s="0" t="s">
        <v>1815</v>
      </c>
      <c r="AF316" s="0" t="s">
        <v>1816</v>
      </c>
      <c r="AG316" s="0" t="s">
        <v>1817</v>
      </c>
      <c r="AH316" s="0" t="s">
        <v>46</v>
      </c>
      <c r="AI316" s="0" t="s">
        <v>46</v>
      </c>
      <c r="AJ316" s="0" t="s">
        <v>46</v>
      </c>
      <c r="AK316" s="0" t="s">
        <v>175</v>
      </c>
      <c r="AL316" s="0" t="s">
        <v>46</v>
      </c>
    </row>
    <row r="317" customFormat="false" ht="15" hidden="false" customHeight="false" outlineLevel="0" collapsed="false">
      <c r="B317" s="0" t="str">
        <f aca="false">HYPERLINK("https://genome.ucsc.edu/cgi-bin/hgTracks?db=hg19&amp;position=chr6%3A42179654%2D42179654", "chr6:42179654")</f>
        <v>chr6:42179654</v>
      </c>
      <c r="C317" s="0" t="s">
        <v>164</v>
      </c>
      <c r="D317" s="0" t="n">
        <v>42179654</v>
      </c>
      <c r="E317" s="0" t="n">
        <v>42179654</v>
      </c>
      <c r="F317" s="0" t="s">
        <v>57</v>
      </c>
      <c r="G317" s="0" t="s">
        <v>40</v>
      </c>
      <c r="H317" s="0" t="s">
        <v>675</v>
      </c>
      <c r="I317" s="0" t="s">
        <v>311</v>
      </c>
      <c r="J317" s="0" t="s">
        <v>866</v>
      </c>
      <c r="K317" s="0" t="s">
        <v>46</v>
      </c>
      <c r="L317" s="0" t="s">
        <v>46</v>
      </c>
      <c r="M317" s="0" t="str">
        <f aca="false">HYPERLINK("https://www.genecards.org/Search/Keyword?queryString=%5Baliases%5D(%20MRPS10%20)&amp;keywords=MRPS10", "MRPS10")</f>
        <v>MRPS10</v>
      </c>
      <c r="N317" s="0" t="s">
        <v>98</v>
      </c>
      <c r="O317" s="0" t="s">
        <v>99</v>
      </c>
      <c r="P317" s="0" t="s">
        <v>1818</v>
      </c>
      <c r="Q317" s="0" t="n">
        <v>-1</v>
      </c>
      <c r="R317" s="0" t="n">
        <v>-1</v>
      </c>
      <c r="S317" s="0" t="n">
        <v>-1</v>
      </c>
      <c r="T317" s="0" t="n">
        <v>-1</v>
      </c>
      <c r="U317" s="0" t="n">
        <v>-1</v>
      </c>
      <c r="V317" s="0" t="s">
        <v>170</v>
      </c>
      <c r="W317" s="0" t="s">
        <v>40</v>
      </c>
      <c r="X317" s="0" t="s">
        <v>46</v>
      </c>
      <c r="Y317" s="0" t="s">
        <v>46</v>
      </c>
      <c r="Z317" s="0" t="s">
        <v>102</v>
      </c>
      <c r="AA317" s="0" t="s">
        <v>171</v>
      </c>
      <c r="AB317" s="0" t="s">
        <v>46</v>
      </c>
      <c r="AC317" s="0" t="s">
        <v>51</v>
      </c>
      <c r="AD317" s="0" t="s">
        <v>52</v>
      </c>
      <c r="AE317" s="0" t="s">
        <v>1819</v>
      </c>
      <c r="AF317" s="0" t="s">
        <v>1820</v>
      </c>
      <c r="AG317" s="0" t="s">
        <v>46</v>
      </c>
      <c r="AH317" s="0" t="s">
        <v>46</v>
      </c>
      <c r="AI317" s="0" t="s">
        <v>46</v>
      </c>
      <c r="AJ317" s="0" t="s">
        <v>46</v>
      </c>
      <c r="AK317" s="0" t="s">
        <v>46</v>
      </c>
      <c r="AL317" s="0" t="s">
        <v>46</v>
      </c>
    </row>
    <row r="318" customFormat="false" ht="15" hidden="false" customHeight="false" outlineLevel="0" collapsed="false">
      <c r="B318" s="0" t="str">
        <f aca="false">HYPERLINK("https://genome.ucsc.edu/cgi-bin/hgTracks?db=hg19&amp;position=chr6%3A49403308%2D49403308", "chr6:49403308")</f>
        <v>chr6:49403308</v>
      </c>
      <c r="C318" s="0" t="s">
        <v>164</v>
      </c>
      <c r="D318" s="0" t="n">
        <v>49403308</v>
      </c>
      <c r="E318" s="0" t="n">
        <v>49403308</v>
      </c>
      <c r="F318" s="0" t="s">
        <v>57</v>
      </c>
      <c r="G318" s="0" t="s">
        <v>69</v>
      </c>
      <c r="H318" s="0" t="s">
        <v>1821</v>
      </c>
      <c r="I318" s="0" t="s">
        <v>144</v>
      </c>
      <c r="J318" s="0" t="s">
        <v>1822</v>
      </c>
      <c r="K318" s="0" t="s">
        <v>46</v>
      </c>
      <c r="L318" s="0" t="s">
        <v>46</v>
      </c>
      <c r="M318" s="0" t="str">
        <f aca="false">HYPERLINK("https://www.genecards.org/Search/Keyword?queryString=%5Baliases%5D(%20MMUT%20)%20OR%20%5Baliases%5D(%20MUT%20)&amp;keywords=MMUT,MUT", "MMUT;MUT")</f>
        <v>MMUT;MUT</v>
      </c>
      <c r="N318" s="0" t="s">
        <v>98</v>
      </c>
      <c r="O318" s="0" t="s">
        <v>99</v>
      </c>
      <c r="P318" s="0" t="s">
        <v>1823</v>
      </c>
      <c r="Q318" s="0" t="n">
        <v>-1</v>
      </c>
      <c r="R318" s="0" t="n">
        <v>-1</v>
      </c>
      <c r="S318" s="0" t="n">
        <v>-1</v>
      </c>
      <c r="T318" s="0" t="n">
        <v>-1</v>
      </c>
      <c r="U318" s="0" t="n">
        <v>-1</v>
      </c>
      <c r="V318" s="0" t="s">
        <v>480</v>
      </c>
      <c r="W318" s="0" t="s">
        <v>46</v>
      </c>
      <c r="X318" s="0" t="s">
        <v>46</v>
      </c>
      <c r="Y318" s="0" t="s">
        <v>46</v>
      </c>
      <c r="Z318" s="0" t="s">
        <v>102</v>
      </c>
      <c r="AA318" s="0" t="s">
        <v>171</v>
      </c>
      <c r="AB318" s="0" t="s">
        <v>46</v>
      </c>
      <c r="AC318" s="0" t="s">
        <v>51</v>
      </c>
      <c r="AD318" s="0" t="s">
        <v>437</v>
      </c>
      <c r="AE318" s="0" t="s">
        <v>1824</v>
      </c>
      <c r="AF318" s="0" t="s">
        <v>1825</v>
      </c>
      <c r="AG318" s="0" t="s">
        <v>1826</v>
      </c>
      <c r="AH318" s="0" t="s">
        <v>1827</v>
      </c>
      <c r="AI318" s="0" t="s">
        <v>46</v>
      </c>
      <c r="AJ318" s="0" t="s">
        <v>46</v>
      </c>
      <c r="AK318" s="0" t="s">
        <v>46</v>
      </c>
      <c r="AL318" s="0" t="s">
        <v>46</v>
      </c>
    </row>
    <row r="319" customFormat="false" ht="15" hidden="false" customHeight="false" outlineLevel="0" collapsed="false">
      <c r="B319" s="0" t="str">
        <f aca="false">HYPERLINK("https://genome.ucsc.edu/cgi-bin/hgTracks?db=hg19&amp;position=chr6%3A49936523%2D49936523", "chr6:49936523")</f>
        <v>chr6:49936523</v>
      </c>
      <c r="C319" s="0" t="s">
        <v>164</v>
      </c>
      <c r="D319" s="0" t="n">
        <v>49936523</v>
      </c>
      <c r="E319" s="0" t="n">
        <v>49936523</v>
      </c>
      <c r="F319" s="0" t="s">
        <v>39</v>
      </c>
      <c r="G319" s="0" t="s">
        <v>40</v>
      </c>
      <c r="H319" s="0" t="s">
        <v>1828</v>
      </c>
      <c r="I319" s="0" t="s">
        <v>434</v>
      </c>
      <c r="J319" s="0" t="s">
        <v>1336</v>
      </c>
      <c r="K319" s="0" t="s">
        <v>46</v>
      </c>
      <c r="L319" s="0" t="str">
        <f aca="false">HYPERLINK("https://www.ncbi.nlm.nih.gov/snp/rs373794670", "rs373794670")</f>
        <v>rs373794670</v>
      </c>
      <c r="M319" s="0" t="str">
        <f aca="false">HYPERLINK("https://www.genecards.org/Search/Keyword?queryString=%5Baliases%5D(%20DEFB113%20)&amp;keywords=DEFB113", "DEFB113")</f>
        <v>DEFB113</v>
      </c>
      <c r="N319" s="0" t="s">
        <v>98</v>
      </c>
      <c r="O319" s="0" t="s">
        <v>99</v>
      </c>
      <c r="P319" s="0" t="s">
        <v>1829</v>
      </c>
      <c r="Q319" s="0" t="n">
        <v>0.003049</v>
      </c>
      <c r="R319" s="0" t="n">
        <v>0.0001</v>
      </c>
      <c r="S319" s="0" t="n">
        <v>0.0003</v>
      </c>
      <c r="T319" s="0" t="n">
        <v>-1</v>
      </c>
      <c r="U319" s="0" t="n">
        <v>0.0004</v>
      </c>
      <c r="V319" s="0" t="s">
        <v>1027</v>
      </c>
      <c r="W319" s="0" t="s">
        <v>46</v>
      </c>
      <c r="X319" s="0" t="s">
        <v>46</v>
      </c>
      <c r="Y319" s="0" t="s">
        <v>46</v>
      </c>
      <c r="Z319" s="0" t="s">
        <v>49</v>
      </c>
      <c r="AA319" s="0" t="s">
        <v>171</v>
      </c>
      <c r="AB319" s="0" t="s">
        <v>46</v>
      </c>
      <c r="AC319" s="0" t="s">
        <v>51</v>
      </c>
      <c r="AD319" s="0" t="s">
        <v>52</v>
      </c>
      <c r="AE319" s="0" t="s">
        <v>1830</v>
      </c>
      <c r="AF319" s="0" t="s">
        <v>1831</v>
      </c>
      <c r="AG319" s="0" t="s">
        <v>1832</v>
      </c>
      <c r="AH319" s="0" t="s">
        <v>46</v>
      </c>
      <c r="AI319" s="0" t="s">
        <v>46</v>
      </c>
      <c r="AJ319" s="0" t="s">
        <v>46</v>
      </c>
      <c r="AK319" s="0" t="s">
        <v>46</v>
      </c>
      <c r="AL319" s="0" t="s">
        <v>46</v>
      </c>
    </row>
    <row r="320" customFormat="false" ht="15" hidden="false" customHeight="false" outlineLevel="0" collapsed="false">
      <c r="B320" s="0" t="str">
        <f aca="false">HYPERLINK("https://genome.ucsc.edu/cgi-bin/hgTracks?db=hg19&amp;position=chr6%3A90660934%2D90660934", "chr6:90660934")</f>
        <v>chr6:90660934</v>
      </c>
      <c r="C320" s="0" t="s">
        <v>164</v>
      </c>
      <c r="D320" s="0" t="n">
        <v>90660934</v>
      </c>
      <c r="E320" s="0" t="n">
        <v>90660934</v>
      </c>
      <c r="F320" s="0" t="s">
        <v>39</v>
      </c>
      <c r="G320" s="0" t="s">
        <v>69</v>
      </c>
      <c r="H320" s="0" t="s">
        <v>1833</v>
      </c>
      <c r="I320" s="0" t="s">
        <v>122</v>
      </c>
      <c r="J320" s="0" t="s">
        <v>1834</v>
      </c>
      <c r="K320" s="0" t="s">
        <v>46</v>
      </c>
      <c r="L320" s="0" t="str">
        <f aca="false">HYPERLINK("https://www.ncbi.nlm.nih.gov/snp/rs761784939", "rs761784939")</f>
        <v>rs761784939</v>
      </c>
      <c r="M320" s="0" t="str">
        <f aca="false">HYPERLINK("https://www.genecards.org/Search/Keyword?queryString=%5Baliases%5D(%20BACH2%20)&amp;keywords=BACH2", "BACH2")</f>
        <v>BACH2</v>
      </c>
      <c r="N320" s="0" t="s">
        <v>98</v>
      </c>
      <c r="O320" s="0" t="s">
        <v>99</v>
      </c>
      <c r="P320" s="0" t="s">
        <v>1835</v>
      </c>
      <c r="Q320" s="0" t="n">
        <v>0.008621</v>
      </c>
      <c r="R320" s="0" t="n">
        <v>-1</v>
      </c>
      <c r="S320" s="0" t="n">
        <v>-1</v>
      </c>
      <c r="T320" s="0" t="n">
        <v>-1</v>
      </c>
      <c r="U320" s="0" t="n">
        <v>-1</v>
      </c>
      <c r="V320" s="0" t="s">
        <v>194</v>
      </c>
      <c r="W320" s="0" t="s">
        <v>46</v>
      </c>
      <c r="X320" s="0" t="s">
        <v>46</v>
      </c>
      <c r="Y320" s="0" t="s">
        <v>46</v>
      </c>
      <c r="Z320" s="0" t="s">
        <v>49</v>
      </c>
      <c r="AA320" s="0" t="s">
        <v>171</v>
      </c>
      <c r="AB320" s="0" t="s">
        <v>46</v>
      </c>
      <c r="AC320" s="0" t="s">
        <v>51</v>
      </c>
      <c r="AD320" s="0" t="s">
        <v>52</v>
      </c>
      <c r="AE320" s="0" t="s">
        <v>1836</v>
      </c>
      <c r="AF320" s="0" t="s">
        <v>1837</v>
      </c>
      <c r="AG320" s="0" t="s">
        <v>1838</v>
      </c>
      <c r="AH320" s="0" t="s">
        <v>46</v>
      </c>
      <c r="AI320" s="0" t="s">
        <v>46</v>
      </c>
      <c r="AJ320" s="0" t="s">
        <v>46</v>
      </c>
      <c r="AK320" s="0" t="s">
        <v>46</v>
      </c>
      <c r="AL320" s="0" t="s">
        <v>46</v>
      </c>
    </row>
    <row r="321" customFormat="false" ht="15" hidden="false" customHeight="false" outlineLevel="0" collapsed="false">
      <c r="B321" s="0" t="str">
        <f aca="false">HYPERLINK("https://genome.ucsc.edu/cgi-bin/hgTracks?db=hg19&amp;position=chr6%3A124676482%2D124676482", "chr6:124676482")</f>
        <v>chr6:124676482</v>
      </c>
      <c r="C321" s="0" t="s">
        <v>164</v>
      </c>
      <c r="D321" s="0" t="n">
        <v>124676482</v>
      </c>
      <c r="E321" s="0" t="n">
        <v>124676482</v>
      </c>
      <c r="F321" s="0" t="s">
        <v>69</v>
      </c>
      <c r="G321" s="0" t="s">
        <v>57</v>
      </c>
      <c r="H321" s="0" t="s">
        <v>1839</v>
      </c>
      <c r="I321" s="0" t="s">
        <v>1468</v>
      </c>
      <c r="J321" s="0" t="s">
        <v>1840</v>
      </c>
      <c r="K321" s="0" t="s">
        <v>46</v>
      </c>
      <c r="L321" s="0" t="str">
        <f aca="false">HYPERLINK("https://www.ncbi.nlm.nih.gov/snp/rs201773097", "rs201773097")</f>
        <v>rs201773097</v>
      </c>
      <c r="M321" s="0" t="str">
        <f aca="false">HYPERLINK("https://www.genecards.org/Search/Keyword?queryString=%5Baliases%5D(%20NKAIN2%20)&amp;keywords=NKAIN2", "NKAIN2")</f>
        <v>NKAIN2</v>
      </c>
      <c r="N321" s="0" t="s">
        <v>98</v>
      </c>
      <c r="O321" s="0" t="s">
        <v>99</v>
      </c>
      <c r="P321" s="0" t="s">
        <v>1841</v>
      </c>
      <c r="Q321" s="0" t="n">
        <v>0.001</v>
      </c>
      <c r="R321" s="0" t="n">
        <v>0.0002</v>
      </c>
      <c r="S321" s="0" t="n">
        <v>0.0002</v>
      </c>
      <c r="T321" s="0" t="n">
        <v>-1</v>
      </c>
      <c r="U321" s="0" t="n">
        <v>0.0004</v>
      </c>
      <c r="V321" s="0" t="s">
        <v>170</v>
      </c>
      <c r="W321" s="0" t="s">
        <v>46</v>
      </c>
      <c r="X321" s="0" t="s">
        <v>46</v>
      </c>
      <c r="Y321" s="0" t="s">
        <v>46</v>
      </c>
      <c r="Z321" s="0" t="s">
        <v>159</v>
      </c>
      <c r="AA321" s="0" t="s">
        <v>171</v>
      </c>
      <c r="AB321" s="0" t="s">
        <v>46</v>
      </c>
      <c r="AC321" s="0" t="s">
        <v>51</v>
      </c>
      <c r="AD321" s="0" t="s">
        <v>52</v>
      </c>
      <c r="AE321" s="0" t="s">
        <v>1842</v>
      </c>
      <c r="AF321" s="0" t="s">
        <v>1843</v>
      </c>
      <c r="AG321" s="0" t="s">
        <v>46</v>
      </c>
      <c r="AH321" s="0" t="s">
        <v>46</v>
      </c>
      <c r="AI321" s="0" t="s">
        <v>46</v>
      </c>
      <c r="AJ321" s="0" t="s">
        <v>46</v>
      </c>
      <c r="AK321" s="0" t="s">
        <v>46</v>
      </c>
      <c r="AL321" s="0" t="s">
        <v>46</v>
      </c>
    </row>
    <row r="322" customFormat="false" ht="15" hidden="false" customHeight="false" outlineLevel="0" collapsed="false">
      <c r="B322" s="0" t="str">
        <f aca="false">HYPERLINK("https://genome.ucsc.edu/cgi-bin/hgTracks?db=hg19&amp;position=chr7%3A23235481%2D23235481", "chr7:23235481")</f>
        <v>chr7:23235481</v>
      </c>
      <c r="C322" s="0" t="s">
        <v>253</v>
      </c>
      <c r="D322" s="0" t="n">
        <v>23235481</v>
      </c>
      <c r="E322" s="0" t="n">
        <v>23235481</v>
      </c>
      <c r="F322" s="0" t="s">
        <v>69</v>
      </c>
      <c r="G322" s="0" t="s">
        <v>40</v>
      </c>
      <c r="H322" s="0" t="s">
        <v>760</v>
      </c>
      <c r="I322" s="0" t="s">
        <v>559</v>
      </c>
      <c r="J322" s="0" t="s">
        <v>560</v>
      </c>
      <c r="K322" s="0" t="s">
        <v>46</v>
      </c>
      <c r="L322" s="0" t="s">
        <v>46</v>
      </c>
      <c r="M322" s="0" t="str">
        <f aca="false">HYPERLINK("https://www.genecards.org/Search/Keyword?queryString=%5Baliases%5D(%20NUP42%20)%20OR%20%5Baliases%5D(%20NUPL2%20)&amp;keywords=NUP42,NUPL2", "NUP42;NUPL2")</f>
        <v>NUP42;NUPL2</v>
      </c>
      <c r="N322" s="0" t="s">
        <v>98</v>
      </c>
      <c r="O322" s="0" t="s">
        <v>371</v>
      </c>
      <c r="P322" s="0" t="s">
        <v>1844</v>
      </c>
      <c r="Q322" s="0" t="n">
        <v>-1</v>
      </c>
      <c r="R322" s="0" t="n">
        <v>-1</v>
      </c>
      <c r="S322" s="0" t="n">
        <v>-1</v>
      </c>
      <c r="T322" s="0" t="n">
        <v>-1</v>
      </c>
      <c r="U322" s="0" t="n">
        <v>-1</v>
      </c>
      <c r="V322" s="0" t="s">
        <v>1143</v>
      </c>
      <c r="W322" s="0" t="s">
        <v>46</v>
      </c>
      <c r="X322" s="0" t="s">
        <v>46</v>
      </c>
      <c r="Y322" s="0" t="s">
        <v>46</v>
      </c>
      <c r="Z322" s="0" t="s">
        <v>240</v>
      </c>
      <c r="AA322" s="0" t="s">
        <v>171</v>
      </c>
      <c r="AB322" s="0" t="s">
        <v>46</v>
      </c>
      <c r="AC322" s="0" t="s">
        <v>51</v>
      </c>
      <c r="AD322" s="0" t="s">
        <v>437</v>
      </c>
      <c r="AE322" s="0" t="s">
        <v>1845</v>
      </c>
      <c r="AF322" s="0" t="s">
        <v>1846</v>
      </c>
      <c r="AG322" s="0" t="s">
        <v>1847</v>
      </c>
      <c r="AH322" s="0" t="s">
        <v>46</v>
      </c>
      <c r="AI322" s="0" t="s">
        <v>46</v>
      </c>
      <c r="AJ322" s="0" t="s">
        <v>46</v>
      </c>
      <c r="AK322" s="0" t="s">
        <v>46</v>
      </c>
      <c r="AL322" s="0" t="s">
        <v>46</v>
      </c>
    </row>
    <row r="323" customFormat="false" ht="15" hidden="false" customHeight="false" outlineLevel="0" collapsed="false">
      <c r="B323" s="0" t="str">
        <f aca="false">HYPERLINK("https://genome.ucsc.edu/cgi-bin/hgTracks?db=hg19&amp;position=chr7%3A75659753%2D75659753", "chr7:75659753")</f>
        <v>chr7:75659753</v>
      </c>
      <c r="C323" s="0" t="s">
        <v>253</v>
      </c>
      <c r="D323" s="0" t="n">
        <v>75659753</v>
      </c>
      <c r="E323" s="0" t="n">
        <v>75659753</v>
      </c>
      <c r="F323" s="0" t="s">
        <v>40</v>
      </c>
      <c r="G323" s="0" t="s">
        <v>39</v>
      </c>
      <c r="H323" s="0" t="s">
        <v>1848</v>
      </c>
      <c r="I323" s="0" t="s">
        <v>111</v>
      </c>
      <c r="J323" s="0" t="s">
        <v>907</v>
      </c>
      <c r="K323" s="0" t="s">
        <v>46</v>
      </c>
      <c r="L323" s="0" t="str">
        <f aca="false">HYPERLINK("https://www.ncbi.nlm.nih.gov/snp/rs145942606", "rs145942606")</f>
        <v>rs145942606</v>
      </c>
      <c r="M323" s="0" t="str">
        <f aca="false">HYPERLINK("https://www.genecards.org/Search/Keyword?queryString=%5Baliases%5D(%20STYXL1%20)&amp;keywords=STYXL1", "STYXL1")</f>
        <v>STYXL1</v>
      </c>
      <c r="N323" s="0" t="s">
        <v>98</v>
      </c>
      <c r="O323" s="0" t="s">
        <v>99</v>
      </c>
      <c r="P323" s="0" t="s">
        <v>1849</v>
      </c>
      <c r="Q323" s="0" t="n">
        <v>0.005747</v>
      </c>
      <c r="R323" s="0" t="n">
        <v>0.0043</v>
      </c>
      <c r="S323" s="0" t="n">
        <v>0.0045</v>
      </c>
      <c r="T323" s="0" t="n">
        <v>-1</v>
      </c>
      <c r="U323" s="0" t="n">
        <v>0.0027</v>
      </c>
      <c r="V323" s="0" t="s">
        <v>101</v>
      </c>
      <c r="W323" s="0" t="s">
        <v>46</v>
      </c>
      <c r="X323" s="0" t="s">
        <v>46</v>
      </c>
      <c r="Y323" s="0" t="s">
        <v>46</v>
      </c>
      <c r="Z323" s="0" t="s">
        <v>231</v>
      </c>
      <c r="AA323" s="0" t="s">
        <v>171</v>
      </c>
      <c r="AB323" s="0" t="s">
        <v>46</v>
      </c>
      <c r="AC323" s="0" t="s">
        <v>51</v>
      </c>
      <c r="AD323" s="0" t="s">
        <v>52</v>
      </c>
      <c r="AE323" s="0" t="s">
        <v>1850</v>
      </c>
      <c r="AF323" s="0" t="s">
        <v>1851</v>
      </c>
      <c r="AG323" s="0" t="s">
        <v>1852</v>
      </c>
      <c r="AH323" s="0" t="s">
        <v>46</v>
      </c>
      <c r="AI323" s="0" t="s">
        <v>46</v>
      </c>
      <c r="AJ323" s="0" t="s">
        <v>46</v>
      </c>
      <c r="AK323" s="0" t="s">
        <v>46</v>
      </c>
      <c r="AL323" s="0" t="s">
        <v>46</v>
      </c>
    </row>
    <row r="324" customFormat="false" ht="15" hidden="false" customHeight="false" outlineLevel="0" collapsed="false">
      <c r="B324" s="0" t="str">
        <f aca="false">HYPERLINK("https://genome.ucsc.edu/cgi-bin/hgTracks?db=hg19&amp;position=chr7%3A100355885%2D100355885", "chr7:100355885")</f>
        <v>chr7:100355885</v>
      </c>
      <c r="C324" s="0" t="s">
        <v>253</v>
      </c>
      <c r="D324" s="0" t="n">
        <v>100355885</v>
      </c>
      <c r="E324" s="0" t="n">
        <v>100355885</v>
      </c>
      <c r="F324" s="0" t="s">
        <v>39</v>
      </c>
      <c r="G324" s="0" t="s">
        <v>40</v>
      </c>
      <c r="H324" s="0" t="s">
        <v>1853</v>
      </c>
      <c r="I324" s="0" t="s">
        <v>393</v>
      </c>
      <c r="J324" s="0" t="s">
        <v>1854</v>
      </c>
      <c r="K324" s="0" t="s">
        <v>46</v>
      </c>
      <c r="L324" s="0" t="str">
        <f aca="false">HYPERLINK("https://www.ncbi.nlm.nih.gov/snp/rs147589227", "rs147589227")</f>
        <v>rs147589227</v>
      </c>
      <c r="M324" s="0" t="str">
        <f aca="false">HYPERLINK("https://www.genecards.org/Search/Keyword?queryString=%5Baliases%5D(%20ZAN%20)&amp;keywords=ZAN", "ZAN")</f>
        <v>ZAN</v>
      </c>
      <c r="N324" s="0" t="s">
        <v>98</v>
      </c>
      <c r="O324" s="0" t="s">
        <v>1318</v>
      </c>
      <c r="P324" s="0" t="s">
        <v>1855</v>
      </c>
      <c r="Q324" s="0" t="n">
        <v>0.0149</v>
      </c>
      <c r="R324" s="0" t="n">
        <v>0.0149</v>
      </c>
      <c r="S324" s="0" t="n">
        <v>0.0154</v>
      </c>
      <c r="T324" s="0" t="n">
        <v>-1</v>
      </c>
      <c r="U324" s="0" t="n">
        <v>0.0154</v>
      </c>
      <c r="V324" s="0" t="s">
        <v>1027</v>
      </c>
      <c r="W324" s="0" t="s">
        <v>46</v>
      </c>
      <c r="X324" s="0" t="s">
        <v>46</v>
      </c>
      <c r="Y324" s="0" t="s">
        <v>46</v>
      </c>
      <c r="Z324" s="0" t="s">
        <v>49</v>
      </c>
      <c r="AA324" s="0" t="s">
        <v>171</v>
      </c>
      <c r="AB324" s="0" t="s">
        <v>46</v>
      </c>
      <c r="AC324" s="0" t="s">
        <v>51</v>
      </c>
      <c r="AD324" s="0" t="s">
        <v>52</v>
      </c>
      <c r="AE324" s="0" t="s">
        <v>1856</v>
      </c>
      <c r="AF324" s="0" t="s">
        <v>1857</v>
      </c>
      <c r="AG324" s="0" t="s">
        <v>1858</v>
      </c>
      <c r="AH324" s="0" t="s">
        <v>46</v>
      </c>
      <c r="AI324" s="0" t="s">
        <v>46</v>
      </c>
      <c r="AJ324" s="0" t="s">
        <v>46</v>
      </c>
      <c r="AK324" s="0" t="s">
        <v>46</v>
      </c>
      <c r="AL324" s="0" t="s">
        <v>46</v>
      </c>
    </row>
    <row r="325" customFormat="false" ht="15" hidden="false" customHeight="false" outlineLevel="0" collapsed="false">
      <c r="B325" s="0" t="str">
        <f aca="false">HYPERLINK("https://genome.ucsc.edu/cgi-bin/hgTracks?db=hg19&amp;position=chr7%3A141840614%2D141840614", "chr7:141840614")</f>
        <v>chr7:141840614</v>
      </c>
      <c r="C325" s="0" t="s">
        <v>253</v>
      </c>
      <c r="D325" s="0" t="n">
        <v>141840614</v>
      </c>
      <c r="E325" s="0" t="n">
        <v>141840614</v>
      </c>
      <c r="F325" s="0" t="s">
        <v>40</v>
      </c>
      <c r="G325" s="0" t="s">
        <v>57</v>
      </c>
      <c r="H325" s="0" t="s">
        <v>597</v>
      </c>
      <c r="I325" s="0" t="s">
        <v>581</v>
      </c>
      <c r="J325" s="0" t="s">
        <v>1859</v>
      </c>
      <c r="K325" s="0" t="s">
        <v>46</v>
      </c>
      <c r="L325" s="0" t="str">
        <f aca="false">HYPERLINK("https://www.ncbi.nlm.nih.gov/snp/rs199731485", "rs199731485")</f>
        <v>rs199731485</v>
      </c>
      <c r="M325" s="0" t="str">
        <f aca="false">HYPERLINK("https://www.genecards.org/Search/Keyword?queryString=%5Baliases%5D(%20LOC93432%20)%20OR%20%5Baliases%5D(%20MGAM2%20)&amp;keywords=LOC93432,MGAM2", "LOC93432;MGAM2")</f>
        <v>LOC93432;MGAM2</v>
      </c>
      <c r="N325" s="0" t="s">
        <v>98</v>
      </c>
      <c r="O325" s="0" t="s">
        <v>99</v>
      </c>
      <c r="P325" s="0" t="s">
        <v>1860</v>
      </c>
      <c r="Q325" s="0" t="n">
        <v>0.002</v>
      </c>
      <c r="R325" s="0" t="n">
        <v>0.0014</v>
      </c>
      <c r="S325" s="0" t="n">
        <v>0.001</v>
      </c>
      <c r="T325" s="0" t="n">
        <v>-1</v>
      </c>
      <c r="U325" s="0" t="n">
        <v>0.0005</v>
      </c>
      <c r="V325" s="0" t="s">
        <v>365</v>
      </c>
      <c r="W325" s="0" t="s">
        <v>46</v>
      </c>
      <c r="X325" s="0" t="s">
        <v>46</v>
      </c>
      <c r="Y325" s="0" t="s">
        <v>46</v>
      </c>
      <c r="Z325" s="0" t="s">
        <v>231</v>
      </c>
      <c r="AA325" s="0" t="s">
        <v>171</v>
      </c>
      <c r="AB325" s="0" t="s">
        <v>46</v>
      </c>
      <c r="AC325" s="0" t="s">
        <v>51</v>
      </c>
      <c r="AD325" s="0" t="s">
        <v>1861</v>
      </c>
      <c r="AE325" s="0" t="s">
        <v>46</v>
      </c>
      <c r="AF325" s="0" t="s">
        <v>1862</v>
      </c>
      <c r="AG325" s="0" t="s">
        <v>46</v>
      </c>
      <c r="AH325" s="0" t="s">
        <v>46</v>
      </c>
      <c r="AI325" s="0" t="s">
        <v>46</v>
      </c>
      <c r="AJ325" s="0" t="s">
        <v>46</v>
      </c>
      <c r="AK325" s="0" t="s">
        <v>46</v>
      </c>
      <c r="AL325" s="0" t="s">
        <v>46</v>
      </c>
    </row>
    <row r="326" customFormat="false" ht="15" hidden="false" customHeight="false" outlineLevel="0" collapsed="false">
      <c r="B326" s="0" t="str">
        <f aca="false">HYPERLINK("https://genome.ucsc.edu/cgi-bin/hgTracks?db=hg19&amp;position=chr7%3A141854539%2D141854539", "chr7:141854539")</f>
        <v>chr7:141854539</v>
      </c>
      <c r="C326" s="0" t="s">
        <v>253</v>
      </c>
      <c r="D326" s="0" t="n">
        <v>141854539</v>
      </c>
      <c r="E326" s="0" t="n">
        <v>141854539</v>
      </c>
      <c r="F326" s="0" t="s">
        <v>57</v>
      </c>
      <c r="G326" s="0" t="s">
        <v>69</v>
      </c>
      <c r="H326" s="0" t="s">
        <v>1863</v>
      </c>
      <c r="I326" s="0" t="s">
        <v>924</v>
      </c>
      <c r="J326" s="0" t="s">
        <v>1864</v>
      </c>
      <c r="K326" s="0" t="s">
        <v>46</v>
      </c>
      <c r="L326" s="0" t="str">
        <f aca="false">HYPERLINK("https://www.ncbi.nlm.nih.gov/snp/rs79591013", "rs79591013")</f>
        <v>rs79591013</v>
      </c>
      <c r="M326" s="0" t="str">
        <f aca="false">HYPERLINK("https://www.genecards.org/Search/Keyword?queryString=%5Baliases%5D(%20MGAM2%20)&amp;keywords=MGAM2", "MGAM2")</f>
        <v>MGAM2</v>
      </c>
      <c r="N326" s="0" t="s">
        <v>1306</v>
      </c>
      <c r="O326" s="0" t="s">
        <v>99</v>
      </c>
      <c r="P326" s="0" t="s">
        <v>1865</v>
      </c>
      <c r="Q326" s="0" t="n">
        <v>0.0139699</v>
      </c>
      <c r="R326" s="0" t="n">
        <v>0.0136</v>
      </c>
      <c r="S326" s="0" t="n">
        <v>0.0126</v>
      </c>
      <c r="T326" s="0" t="n">
        <v>-1</v>
      </c>
      <c r="U326" s="0" t="n">
        <v>0.0163</v>
      </c>
      <c r="V326" s="0" t="s">
        <v>1866</v>
      </c>
      <c r="W326" s="0" t="s">
        <v>46</v>
      </c>
      <c r="X326" s="0" t="s">
        <v>46</v>
      </c>
      <c r="Y326" s="0" t="s">
        <v>46</v>
      </c>
      <c r="Z326" s="0" t="s">
        <v>183</v>
      </c>
      <c r="AA326" s="0" t="s">
        <v>171</v>
      </c>
      <c r="AB326" s="0" t="s">
        <v>46</v>
      </c>
      <c r="AC326" s="0" t="s">
        <v>51</v>
      </c>
      <c r="AD326" s="0" t="s">
        <v>856</v>
      </c>
      <c r="AE326" s="0" t="s">
        <v>46</v>
      </c>
      <c r="AF326" s="0" t="s">
        <v>1862</v>
      </c>
      <c r="AG326" s="0" t="s">
        <v>46</v>
      </c>
      <c r="AH326" s="0" t="s">
        <v>46</v>
      </c>
      <c r="AI326" s="0" t="s">
        <v>46</v>
      </c>
      <c r="AJ326" s="0" t="s">
        <v>46</v>
      </c>
      <c r="AK326" s="0" t="s">
        <v>46</v>
      </c>
      <c r="AL326" s="0" t="s">
        <v>46</v>
      </c>
    </row>
    <row r="327" customFormat="false" ht="15" hidden="false" customHeight="false" outlineLevel="0" collapsed="false">
      <c r="B327" s="0" t="str">
        <f aca="false">HYPERLINK("https://genome.ucsc.edu/cgi-bin/hgTracks?db=hg19&amp;position=chr7%3A148863262%2D148863262", "chr7:148863262")</f>
        <v>chr7:148863262</v>
      </c>
      <c r="C327" s="0" t="s">
        <v>253</v>
      </c>
      <c r="D327" s="0" t="n">
        <v>148863262</v>
      </c>
      <c r="E327" s="0" t="n">
        <v>148863262</v>
      </c>
      <c r="F327" s="0" t="s">
        <v>40</v>
      </c>
      <c r="G327" s="0" t="s">
        <v>57</v>
      </c>
      <c r="H327" s="0" t="s">
        <v>1867</v>
      </c>
      <c r="I327" s="0" t="s">
        <v>547</v>
      </c>
      <c r="J327" s="0" t="s">
        <v>1868</v>
      </c>
      <c r="K327" s="0" t="s">
        <v>46</v>
      </c>
      <c r="L327" s="0" t="s">
        <v>46</v>
      </c>
      <c r="M327" s="0" t="str">
        <f aca="false">HYPERLINK("https://www.genecards.org/Search/Keyword?queryString=%5Baliases%5D(%20ZNF398%20)&amp;keywords=ZNF398", "ZNF398")</f>
        <v>ZNF398</v>
      </c>
      <c r="N327" s="0" t="s">
        <v>98</v>
      </c>
      <c r="O327" s="0" t="s">
        <v>99</v>
      </c>
      <c r="P327" s="0" t="s">
        <v>1869</v>
      </c>
      <c r="Q327" s="0" t="n">
        <v>-1</v>
      </c>
      <c r="R327" s="0" t="n">
        <v>-1</v>
      </c>
      <c r="S327" s="0" t="n">
        <v>-1</v>
      </c>
      <c r="T327" s="0" t="n">
        <v>-1</v>
      </c>
      <c r="U327" s="0" t="n">
        <v>-1</v>
      </c>
      <c r="V327" s="0" t="s">
        <v>230</v>
      </c>
      <c r="W327" s="0" t="s">
        <v>46</v>
      </c>
      <c r="X327" s="0" t="s">
        <v>46</v>
      </c>
      <c r="Y327" s="0" t="s">
        <v>46</v>
      </c>
      <c r="Z327" s="0" t="s">
        <v>159</v>
      </c>
      <c r="AA327" s="0" t="s">
        <v>171</v>
      </c>
      <c r="AB327" s="0" t="s">
        <v>46</v>
      </c>
      <c r="AC327" s="0" t="s">
        <v>51</v>
      </c>
      <c r="AD327" s="0" t="s">
        <v>52</v>
      </c>
      <c r="AE327" s="0" t="s">
        <v>1870</v>
      </c>
      <c r="AF327" s="0" t="s">
        <v>1871</v>
      </c>
      <c r="AG327" s="0" t="s">
        <v>1872</v>
      </c>
      <c r="AH327" s="0" t="s">
        <v>46</v>
      </c>
      <c r="AI327" s="0" t="s">
        <v>46</v>
      </c>
      <c r="AJ327" s="0" t="s">
        <v>46</v>
      </c>
      <c r="AK327" s="0" t="s">
        <v>46</v>
      </c>
      <c r="AL327" s="0" t="s">
        <v>46</v>
      </c>
    </row>
    <row r="328" customFormat="false" ht="15" hidden="false" customHeight="false" outlineLevel="0" collapsed="false">
      <c r="B328" s="0" t="str">
        <f aca="false">HYPERLINK("https://genome.ucsc.edu/cgi-bin/hgTracks?db=hg19&amp;position=chr8%3A20030597%2D20030597", "chr8:20030597")</f>
        <v>chr8:20030597</v>
      </c>
      <c r="C328" s="0" t="s">
        <v>1873</v>
      </c>
      <c r="D328" s="0" t="n">
        <v>20030597</v>
      </c>
      <c r="E328" s="0" t="n">
        <v>20030597</v>
      </c>
      <c r="F328" s="0" t="s">
        <v>39</v>
      </c>
      <c r="G328" s="0" t="s">
        <v>40</v>
      </c>
      <c r="H328" s="0" t="s">
        <v>718</v>
      </c>
      <c r="I328" s="0" t="s">
        <v>1874</v>
      </c>
      <c r="J328" s="0" t="s">
        <v>1875</v>
      </c>
      <c r="K328" s="0" t="s">
        <v>46</v>
      </c>
      <c r="L328" s="0" t="str">
        <f aca="false">HYPERLINK("https://www.ncbi.nlm.nih.gov/snp/rs757151657", "rs757151657")</f>
        <v>rs757151657</v>
      </c>
      <c r="M328" s="0" t="str">
        <f aca="false">HYPERLINK("https://www.genecards.org/Search/Keyword?queryString=%5Baliases%5D(%20SLC18A1%20)&amp;keywords=SLC18A1", "SLC18A1")</f>
        <v>SLC18A1</v>
      </c>
      <c r="N328" s="0" t="s">
        <v>98</v>
      </c>
      <c r="O328" s="0" t="s">
        <v>99</v>
      </c>
      <c r="P328" s="0" t="s">
        <v>1876</v>
      </c>
      <c r="Q328" s="0" t="n">
        <v>0.001</v>
      </c>
      <c r="R328" s="0" t="n">
        <v>0.0014</v>
      </c>
      <c r="S328" s="0" t="n">
        <v>0.0009</v>
      </c>
      <c r="T328" s="0" t="n">
        <v>-1</v>
      </c>
      <c r="U328" s="0" t="n">
        <v>0.0022</v>
      </c>
      <c r="V328" s="0" t="s">
        <v>697</v>
      </c>
      <c r="W328" s="0" t="s">
        <v>46</v>
      </c>
      <c r="X328" s="0" t="s">
        <v>46</v>
      </c>
      <c r="Y328" s="0" t="s">
        <v>46</v>
      </c>
      <c r="Z328" s="0" t="s">
        <v>102</v>
      </c>
      <c r="AA328" s="0" t="s">
        <v>171</v>
      </c>
      <c r="AB328" s="0" t="s">
        <v>46</v>
      </c>
      <c r="AC328" s="0" t="s">
        <v>51</v>
      </c>
      <c r="AD328" s="0" t="s">
        <v>52</v>
      </c>
      <c r="AE328" s="0" t="s">
        <v>1877</v>
      </c>
      <c r="AF328" s="0" t="s">
        <v>1878</v>
      </c>
      <c r="AG328" s="0" t="s">
        <v>1879</v>
      </c>
      <c r="AH328" s="0" t="s">
        <v>46</v>
      </c>
      <c r="AI328" s="0" t="s">
        <v>46</v>
      </c>
      <c r="AJ328" s="0" t="s">
        <v>46</v>
      </c>
      <c r="AK328" s="0" t="s">
        <v>46</v>
      </c>
      <c r="AL328" s="0" t="s">
        <v>46</v>
      </c>
    </row>
    <row r="329" customFormat="false" ht="15" hidden="false" customHeight="false" outlineLevel="0" collapsed="false">
      <c r="B329" s="0" t="str">
        <f aca="false">HYPERLINK("https://genome.ucsc.edu/cgi-bin/hgTracks?db=hg19&amp;position=chr8%3A21924633%2D21924633", "chr8:21924633")</f>
        <v>chr8:21924633</v>
      </c>
      <c r="C329" s="0" t="s">
        <v>1873</v>
      </c>
      <c r="D329" s="0" t="n">
        <v>21924633</v>
      </c>
      <c r="E329" s="0" t="n">
        <v>21924633</v>
      </c>
      <c r="F329" s="0" t="s">
        <v>69</v>
      </c>
      <c r="G329" s="0" t="s">
        <v>57</v>
      </c>
      <c r="H329" s="0" t="s">
        <v>1880</v>
      </c>
      <c r="I329" s="0" t="s">
        <v>896</v>
      </c>
      <c r="J329" s="0" t="s">
        <v>1881</v>
      </c>
      <c r="K329" s="0" t="s">
        <v>46</v>
      </c>
      <c r="L329" s="0" t="str">
        <f aca="false">HYPERLINK("https://www.ncbi.nlm.nih.gov/snp/rs113145439", "rs113145439")</f>
        <v>rs113145439</v>
      </c>
      <c r="M329" s="0" t="str">
        <f aca="false">HYPERLINK("https://www.genecards.org/Search/Keyword?queryString=%5Baliases%5D(%20DMTN%20)&amp;keywords=DMTN", "DMTN")</f>
        <v>DMTN</v>
      </c>
      <c r="N329" s="0" t="s">
        <v>98</v>
      </c>
      <c r="O329" s="0" t="s">
        <v>99</v>
      </c>
      <c r="P329" s="0" t="s">
        <v>1882</v>
      </c>
      <c r="Q329" s="0" t="n">
        <v>0.0278</v>
      </c>
      <c r="R329" s="0" t="n">
        <v>0.0116</v>
      </c>
      <c r="S329" s="0" t="n">
        <v>0.0115</v>
      </c>
      <c r="T329" s="0" t="n">
        <v>-1</v>
      </c>
      <c r="U329" s="0" t="n">
        <v>0.0093</v>
      </c>
      <c r="V329" s="0" t="s">
        <v>663</v>
      </c>
      <c r="W329" s="0" t="s">
        <v>46</v>
      </c>
      <c r="X329" s="0" t="s">
        <v>46</v>
      </c>
      <c r="Y329" s="0" t="s">
        <v>46</v>
      </c>
      <c r="Z329" s="0" t="s">
        <v>159</v>
      </c>
      <c r="AA329" s="0" t="s">
        <v>171</v>
      </c>
      <c r="AB329" s="0" t="s">
        <v>46</v>
      </c>
      <c r="AC329" s="0" t="s">
        <v>51</v>
      </c>
      <c r="AD329" s="0" t="s">
        <v>52</v>
      </c>
      <c r="AE329" s="0" t="s">
        <v>1883</v>
      </c>
      <c r="AF329" s="0" t="s">
        <v>1884</v>
      </c>
      <c r="AG329" s="0" t="s">
        <v>1885</v>
      </c>
      <c r="AH329" s="0" t="s">
        <v>46</v>
      </c>
      <c r="AI329" s="0" t="s">
        <v>46</v>
      </c>
      <c r="AJ329" s="0" t="s">
        <v>46</v>
      </c>
      <c r="AK329" s="0" t="s">
        <v>46</v>
      </c>
      <c r="AL329" s="0" t="s">
        <v>46</v>
      </c>
    </row>
    <row r="330" customFormat="false" ht="15" hidden="false" customHeight="false" outlineLevel="0" collapsed="false">
      <c r="B330" s="0" t="str">
        <f aca="false">HYPERLINK("https://genome.ucsc.edu/cgi-bin/hgTracks?db=hg19&amp;position=chr8%3A105235958%2D105235958", "chr8:105235958")</f>
        <v>chr8:105235958</v>
      </c>
      <c r="C330" s="0" t="s">
        <v>1873</v>
      </c>
      <c r="D330" s="0" t="n">
        <v>105235958</v>
      </c>
      <c r="E330" s="0" t="n">
        <v>105235958</v>
      </c>
      <c r="F330" s="0" t="s">
        <v>69</v>
      </c>
      <c r="G330" s="0" t="s">
        <v>57</v>
      </c>
      <c r="H330" s="0" t="s">
        <v>1886</v>
      </c>
      <c r="I330" s="0" t="s">
        <v>1226</v>
      </c>
      <c r="J330" s="0" t="s">
        <v>1887</v>
      </c>
      <c r="K330" s="0" t="s">
        <v>46</v>
      </c>
      <c r="L330" s="0" t="str">
        <f aca="false">HYPERLINK("https://www.ncbi.nlm.nih.gov/snp/rs115168750", "rs115168750")</f>
        <v>rs115168750</v>
      </c>
      <c r="M330" s="0" t="str">
        <f aca="false">HYPERLINK("https://www.genecards.org/Search/Keyword?queryString=%5Baliases%5D(%20RIMS2%20)&amp;keywords=RIMS2", "RIMS2")</f>
        <v>RIMS2</v>
      </c>
      <c r="N330" s="0" t="s">
        <v>1888</v>
      </c>
      <c r="O330" s="0" t="s">
        <v>99</v>
      </c>
      <c r="P330" s="0" t="s">
        <v>1889</v>
      </c>
      <c r="Q330" s="0" t="n">
        <v>0.0177875</v>
      </c>
      <c r="R330" s="0" t="n">
        <v>0.0153</v>
      </c>
      <c r="S330" s="0" t="n">
        <v>0.0137</v>
      </c>
      <c r="T330" s="0" t="n">
        <v>-1</v>
      </c>
      <c r="U330" s="0" t="n">
        <v>0.0203</v>
      </c>
      <c r="V330" s="0" t="s">
        <v>1890</v>
      </c>
      <c r="W330" s="0" t="s">
        <v>46</v>
      </c>
      <c r="X330" s="0" t="s">
        <v>46</v>
      </c>
      <c r="Y330" s="0" t="s">
        <v>46</v>
      </c>
      <c r="Z330" s="0" t="s">
        <v>231</v>
      </c>
      <c r="AA330" s="0" t="s">
        <v>171</v>
      </c>
      <c r="AB330" s="0" t="s">
        <v>46</v>
      </c>
      <c r="AC330" s="0" t="s">
        <v>51</v>
      </c>
      <c r="AD330" s="0" t="s">
        <v>52</v>
      </c>
      <c r="AE330" s="0" t="s">
        <v>1891</v>
      </c>
      <c r="AF330" s="0" t="s">
        <v>1892</v>
      </c>
      <c r="AG330" s="0" t="s">
        <v>1893</v>
      </c>
      <c r="AH330" s="0" t="s">
        <v>46</v>
      </c>
      <c r="AI330" s="0" t="s">
        <v>46</v>
      </c>
      <c r="AJ330" s="0" t="s">
        <v>46</v>
      </c>
      <c r="AK330" s="0" t="s">
        <v>46</v>
      </c>
      <c r="AL330" s="0" t="s">
        <v>46</v>
      </c>
    </row>
    <row r="331" customFormat="false" ht="15" hidden="false" customHeight="false" outlineLevel="0" collapsed="false">
      <c r="B331" s="0" t="str">
        <f aca="false">HYPERLINK("https://genome.ucsc.edu/cgi-bin/hgTracks?db=hg19&amp;position=chr8%3A113331119%2D113331119", "chr8:113331119")</f>
        <v>chr8:113331119</v>
      </c>
      <c r="C331" s="0" t="s">
        <v>1873</v>
      </c>
      <c r="D331" s="0" t="n">
        <v>113331119</v>
      </c>
      <c r="E331" s="0" t="n">
        <v>113331119</v>
      </c>
      <c r="F331" s="0" t="s">
        <v>69</v>
      </c>
      <c r="G331" s="0" t="s">
        <v>57</v>
      </c>
      <c r="H331" s="0" t="s">
        <v>1894</v>
      </c>
      <c r="I331" s="0" t="s">
        <v>434</v>
      </c>
      <c r="J331" s="0" t="s">
        <v>435</v>
      </c>
      <c r="K331" s="0" t="s">
        <v>46</v>
      </c>
      <c r="L331" s="0" t="str">
        <f aca="false">HYPERLINK("https://www.ncbi.nlm.nih.gov/snp/rs141088192", "rs141088192")</f>
        <v>rs141088192</v>
      </c>
      <c r="M331" s="0" t="str">
        <f aca="false">HYPERLINK("https://www.genecards.org/Search/Keyword?queryString=%5Baliases%5D(%20CSMD3%20)&amp;keywords=CSMD3", "CSMD3")</f>
        <v>CSMD3</v>
      </c>
      <c r="N331" s="0" t="s">
        <v>98</v>
      </c>
      <c r="O331" s="0" t="s">
        <v>99</v>
      </c>
      <c r="P331" s="0" t="s">
        <v>1895</v>
      </c>
      <c r="Q331" s="0" t="n">
        <v>0.001</v>
      </c>
      <c r="R331" s="0" t="n">
        <v>9.022E-005</v>
      </c>
      <c r="S331" s="0" t="n">
        <v>0.0001</v>
      </c>
      <c r="T331" s="0" t="n">
        <v>-1</v>
      </c>
      <c r="U331" s="0" t="n">
        <v>0.0002</v>
      </c>
      <c r="V331" s="0" t="s">
        <v>101</v>
      </c>
      <c r="W331" s="0" t="s">
        <v>46</v>
      </c>
      <c r="X331" s="0" t="s">
        <v>46</v>
      </c>
      <c r="Y331" s="0" t="s">
        <v>46</v>
      </c>
      <c r="Z331" s="0" t="s">
        <v>102</v>
      </c>
      <c r="AA331" s="0" t="s">
        <v>171</v>
      </c>
      <c r="AB331" s="0" t="s">
        <v>46</v>
      </c>
      <c r="AC331" s="0" t="s">
        <v>51</v>
      </c>
      <c r="AD331" s="0" t="s">
        <v>52</v>
      </c>
      <c r="AE331" s="0" t="s">
        <v>1896</v>
      </c>
      <c r="AF331" s="0" t="s">
        <v>1897</v>
      </c>
      <c r="AG331" s="0" t="s">
        <v>46</v>
      </c>
      <c r="AH331" s="0" t="s">
        <v>46</v>
      </c>
      <c r="AI331" s="0" t="s">
        <v>46</v>
      </c>
      <c r="AJ331" s="0" t="s">
        <v>46</v>
      </c>
      <c r="AK331" s="0" t="s">
        <v>46</v>
      </c>
      <c r="AL331" s="0" t="s">
        <v>46</v>
      </c>
    </row>
    <row r="332" customFormat="false" ht="15" hidden="false" customHeight="false" outlineLevel="0" collapsed="false">
      <c r="B332" s="0" t="str">
        <f aca="false">HYPERLINK("https://genome.ucsc.edu/cgi-bin/hgTracks?db=hg19&amp;position=chr8%3A145171125%2D145171125", "chr8:145171125")</f>
        <v>chr8:145171125</v>
      </c>
      <c r="C332" s="0" t="s">
        <v>1873</v>
      </c>
      <c r="D332" s="0" t="n">
        <v>145171125</v>
      </c>
      <c r="E332" s="0" t="n">
        <v>145171125</v>
      </c>
      <c r="F332" s="0" t="s">
        <v>39</v>
      </c>
      <c r="G332" s="0" t="s">
        <v>40</v>
      </c>
      <c r="H332" s="0" t="s">
        <v>1898</v>
      </c>
      <c r="I332" s="0" t="s">
        <v>379</v>
      </c>
      <c r="J332" s="0" t="s">
        <v>380</v>
      </c>
      <c r="K332" s="0" t="s">
        <v>46</v>
      </c>
      <c r="L332" s="0" t="str">
        <f aca="false">HYPERLINK("https://www.ncbi.nlm.nih.gov/snp/rs750207651", "rs750207651")</f>
        <v>rs750207651</v>
      </c>
      <c r="M332" s="0" t="str">
        <f aca="false">HYPERLINK("https://www.genecards.org/Search/Keyword?queryString=%5Baliases%5D(%20KIAA1875%20)%20OR%20%5Baliases%5D(%20WDR97%20)&amp;keywords=KIAA1875,WDR97", "KIAA1875;WDR97")</f>
        <v>KIAA1875;WDR97</v>
      </c>
      <c r="N332" s="0" t="s">
        <v>98</v>
      </c>
      <c r="O332" s="0" t="s">
        <v>99</v>
      </c>
      <c r="P332" s="0" t="s">
        <v>1899</v>
      </c>
      <c r="Q332" s="0" t="n">
        <v>0.0019</v>
      </c>
      <c r="R332" s="0" t="n">
        <v>0.0021</v>
      </c>
      <c r="S332" s="0" t="n">
        <v>0.0019</v>
      </c>
      <c r="T332" s="0" t="n">
        <v>-1</v>
      </c>
      <c r="U332" s="0" t="n">
        <v>0.002</v>
      </c>
      <c r="V332" s="0" t="s">
        <v>1149</v>
      </c>
      <c r="W332" s="0" t="s">
        <v>46</v>
      </c>
      <c r="X332" s="0" t="s">
        <v>46</v>
      </c>
      <c r="Y332" s="0" t="s">
        <v>46</v>
      </c>
      <c r="Z332" s="0" t="s">
        <v>49</v>
      </c>
      <c r="AA332" s="0" t="s">
        <v>171</v>
      </c>
      <c r="AB332" s="0" t="s">
        <v>46</v>
      </c>
      <c r="AC332" s="0" t="s">
        <v>51</v>
      </c>
      <c r="AD332" s="0" t="s">
        <v>437</v>
      </c>
      <c r="AE332" s="0" t="s">
        <v>46</v>
      </c>
      <c r="AF332" s="0" t="s">
        <v>1900</v>
      </c>
      <c r="AG332" s="0" t="s">
        <v>46</v>
      </c>
      <c r="AH332" s="0" t="s">
        <v>46</v>
      </c>
      <c r="AI332" s="0" t="s">
        <v>46</v>
      </c>
      <c r="AJ332" s="0" t="s">
        <v>46</v>
      </c>
      <c r="AK332" s="0" t="s">
        <v>46</v>
      </c>
      <c r="AL332" s="0" t="s">
        <v>46</v>
      </c>
    </row>
    <row r="333" customFormat="false" ht="15" hidden="false" customHeight="false" outlineLevel="0" collapsed="false">
      <c r="B333" s="0" t="str">
        <f aca="false">HYPERLINK("https://genome.ucsc.edu/cgi-bin/hgTracks?db=hg19&amp;position=chr9%3A5522583%2D5522583", "chr9:5522583")</f>
        <v>chr9:5522583</v>
      </c>
      <c r="C333" s="0" t="s">
        <v>142</v>
      </c>
      <c r="D333" s="0" t="n">
        <v>5522583</v>
      </c>
      <c r="E333" s="0" t="n">
        <v>5522583</v>
      </c>
      <c r="F333" s="0" t="s">
        <v>39</v>
      </c>
      <c r="G333" s="0" t="s">
        <v>40</v>
      </c>
      <c r="H333" s="0" t="s">
        <v>1901</v>
      </c>
      <c r="I333" s="0" t="s">
        <v>1146</v>
      </c>
      <c r="J333" s="0" t="s">
        <v>1902</v>
      </c>
      <c r="K333" s="0" t="s">
        <v>46</v>
      </c>
      <c r="L333" s="0" t="s">
        <v>46</v>
      </c>
      <c r="M333" s="0" t="str">
        <f aca="false">HYPERLINK("https://www.genecards.org/Search/Keyword?queryString=%5Baliases%5D(%20PDCD1LG2%20)&amp;keywords=PDCD1LG2", "PDCD1LG2")</f>
        <v>PDCD1LG2</v>
      </c>
      <c r="N333" s="0" t="s">
        <v>98</v>
      </c>
      <c r="O333" s="0" t="s">
        <v>371</v>
      </c>
      <c r="P333" s="0" t="s">
        <v>1903</v>
      </c>
      <c r="Q333" s="0" t="n">
        <v>-1</v>
      </c>
      <c r="R333" s="0" t="n">
        <v>-1</v>
      </c>
      <c r="S333" s="0" t="n">
        <v>-1</v>
      </c>
      <c r="T333" s="0" t="n">
        <v>-1</v>
      </c>
      <c r="U333" s="0" t="n">
        <v>-1</v>
      </c>
      <c r="V333" s="0" t="s">
        <v>496</v>
      </c>
      <c r="W333" s="0" t="s">
        <v>46</v>
      </c>
      <c r="X333" s="0" t="s">
        <v>46</v>
      </c>
      <c r="Y333" s="0" t="s">
        <v>46</v>
      </c>
      <c r="Z333" s="0" t="s">
        <v>138</v>
      </c>
      <c r="AA333" s="0" t="s">
        <v>171</v>
      </c>
      <c r="AB333" s="0" t="s">
        <v>46</v>
      </c>
      <c r="AC333" s="0" t="s">
        <v>51</v>
      </c>
      <c r="AD333" s="0" t="s">
        <v>52</v>
      </c>
      <c r="AE333" s="0" t="s">
        <v>1904</v>
      </c>
      <c r="AF333" s="0" t="s">
        <v>1905</v>
      </c>
      <c r="AG333" s="0" t="s">
        <v>1906</v>
      </c>
      <c r="AH333" s="0" t="s">
        <v>46</v>
      </c>
      <c r="AI333" s="0" t="s">
        <v>46</v>
      </c>
      <c r="AJ333" s="0" t="s">
        <v>46</v>
      </c>
      <c r="AK333" s="0" t="s">
        <v>46</v>
      </c>
      <c r="AL333" s="0" t="s">
        <v>46</v>
      </c>
    </row>
    <row r="334" customFormat="false" ht="15" hidden="false" customHeight="false" outlineLevel="0" collapsed="false">
      <c r="B334" s="0" t="str">
        <f aca="false">HYPERLINK("https://genome.ucsc.edu/cgi-bin/hgTracks?db=hg19&amp;position=chr9%3A35043318%2D35043318", "chr9:35043318")</f>
        <v>chr9:35043318</v>
      </c>
      <c r="C334" s="0" t="s">
        <v>142</v>
      </c>
      <c r="D334" s="0" t="n">
        <v>35043318</v>
      </c>
      <c r="E334" s="0" t="n">
        <v>35043318</v>
      </c>
      <c r="F334" s="0" t="s">
        <v>57</v>
      </c>
      <c r="G334" s="0" t="s">
        <v>69</v>
      </c>
      <c r="H334" s="0" t="s">
        <v>1907</v>
      </c>
      <c r="I334" s="0" t="s">
        <v>1908</v>
      </c>
      <c r="J334" s="0" t="s">
        <v>1909</v>
      </c>
      <c r="K334" s="0" t="s">
        <v>46</v>
      </c>
      <c r="L334" s="0" t="str">
        <f aca="false">HYPERLINK("https://www.ncbi.nlm.nih.gov/snp/rs116370367", "rs116370367")</f>
        <v>rs116370367</v>
      </c>
      <c r="M334" s="0" t="str">
        <f aca="false">HYPERLINK("https://www.genecards.org/Search/Keyword?queryString=%5Baliases%5D(%20C9orf131%20)&amp;keywords=C9orf131", "C9orf131")</f>
        <v>C9orf131</v>
      </c>
      <c r="N334" s="0" t="s">
        <v>98</v>
      </c>
      <c r="O334" s="0" t="s">
        <v>99</v>
      </c>
      <c r="P334" s="0" t="s">
        <v>1910</v>
      </c>
      <c r="Q334" s="0" t="n">
        <v>0.0008</v>
      </c>
      <c r="R334" s="0" t="n">
        <v>-1</v>
      </c>
      <c r="S334" s="0" t="n">
        <v>-1</v>
      </c>
      <c r="T334" s="0" t="n">
        <v>-1</v>
      </c>
      <c r="U334" s="0" t="n">
        <v>-1</v>
      </c>
      <c r="V334" s="0" t="s">
        <v>688</v>
      </c>
      <c r="W334" s="0" t="s">
        <v>46</v>
      </c>
      <c r="X334" s="0" t="s">
        <v>46</v>
      </c>
      <c r="Y334" s="0" t="s">
        <v>46</v>
      </c>
      <c r="Z334" s="0" t="s">
        <v>231</v>
      </c>
      <c r="AA334" s="0" t="s">
        <v>171</v>
      </c>
      <c r="AB334" s="0" t="s">
        <v>46</v>
      </c>
      <c r="AC334" s="0" t="s">
        <v>51</v>
      </c>
      <c r="AD334" s="0" t="s">
        <v>52</v>
      </c>
      <c r="AE334" s="0" t="s">
        <v>1911</v>
      </c>
      <c r="AF334" s="0" t="s">
        <v>1912</v>
      </c>
      <c r="AG334" s="0" t="s">
        <v>46</v>
      </c>
      <c r="AH334" s="0" t="s">
        <v>46</v>
      </c>
      <c r="AI334" s="0" t="s">
        <v>46</v>
      </c>
      <c r="AJ334" s="0" t="s">
        <v>46</v>
      </c>
      <c r="AK334" s="0" t="s">
        <v>46</v>
      </c>
      <c r="AL334" s="0" t="s">
        <v>46</v>
      </c>
    </row>
    <row r="335" customFormat="false" ht="15" hidden="false" customHeight="false" outlineLevel="0" collapsed="false">
      <c r="B335" s="0" t="str">
        <f aca="false">HYPERLINK("https://genome.ucsc.edu/cgi-bin/hgTracks?db=hg19&amp;position=chr9%3A71628702%2D71628702", "chr9:71628702")</f>
        <v>chr9:71628702</v>
      </c>
      <c r="C335" s="0" t="s">
        <v>142</v>
      </c>
      <c r="D335" s="0" t="n">
        <v>71628702</v>
      </c>
      <c r="E335" s="0" t="n">
        <v>71628702</v>
      </c>
      <c r="F335" s="0" t="s">
        <v>57</v>
      </c>
      <c r="G335" s="0" t="s">
        <v>69</v>
      </c>
      <c r="H335" s="0" t="s">
        <v>1913</v>
      </c>
      <c r="I335" s="0" t="s">
        <v>711</v>
      </c>
      <c r="J335" s="0" t="s">
        <v>1914</v>
      </c>
      <c r="K335" s="0" t="s">
        <v>46</v>
      </c>
      <c r="L335" s="0" t="s">
        <v>46</v>
      </c>
      <c r="M335" s="0" t="str">
        <f aca="false">HYPERLINK("https://www.genecards.org/Search/Keyword?queryString=%5Baliases%5D(%20PRKACG%20)&amp;keywords=PRKACG", "PRKACG")</f>
        <v>PRKACG</v>
      </c>
      <c r="N335" s="0" t="s">
        <v>98</v>
      </c>
      <c r="O335" s="0" t="s">
        <v>99</v>
      </c>
      <c r="P335" s="0" t="s">
        <v>1915</v>
      </c>
      <c r="Q335" s="0" t="n">
        <v>-1</v>
      </c>
      <c r="R335" s="0" t="n">
        <v>-1</v>
      </c>
      <c r="S335" s="0" t="n">
        <v>-1</v>
      </c>
      <c r="T335" s="0" t="n">
        <v>-1</v>
      </c>
      <c r="U335" s="0" t="n">
        <v>-1</v>
      </c>
      <c r="V335" s="0" t="s">
        <v>170</v>
      </c>
      <c r="W335" s="0" t="s">
        <v>46</v>
      </c>
      <c r="X335" s="0" t="s">
        <v>46</v>
      </c>
      <c r="Y335" s="0" t="s">
        <v>46</v>
      </c>
      <c r="Z335" s="0" t="s">
        <v>138</v>
      </c>
      <c r="AA335" s="0" t="s">
        <v>171</v>
      </c>
      <c r="AB335" s="0" t="s">
        <v>46</v>
      </c>
      <c r="AC335" s="0" t="s">
        <v>51</v>
      </c>
      <c r="AD335" s="0" t="s">
        <v>52</v>
      </c>
      <c r="AE335" s="0" t="s">
        <v>1916</v>
      </c>
      <c r="AF335" s="0" t="s">
        <v>1917</v>
      </c>
      <c r="AG335" s="0" t="s">
        <v>1918</v>
      </c>
      <c r="AH335" s="0" t="s">
        <v>46</v>
      </c>
      <c r="AI335" s="0" t="s">
        <v>46</v>
      </c>
      <c r="AJ335" s="0" t="s">
        <v>46</v>
      </c>
      <c r="AK335" s="0" t="s">
        <v>46</v>
      </c>
      <c r="AL335" s="0" t="s">
        <v>46</v>
      </c>
    </row>
    <row r="336" customFormat="false" ht="15" hidden="false" customHeight="false" outlineLevel="0" collapsed="false">
      <c r="B336" s="0" t="str">
        <f aca="false">HYPERLINK("https://genome.ucsc.edu/cgi-bin/hgTracks?db=hg19&amp;position=chr9%3A72520928%2D72520928", "chr9:72520928")</f>
        <v>chr9:72520928</v>
      </c>
      <c r="C336" s="0" t="s">
        <v>142</v>
      </c>
      <c r="D336" s="0" t="n">
        <v>72520928</v>
      </c>
      <c r="E336" s="0" t="n">
        <v>72520928</v>
      </c>
      <c r="F336" s="0" t="s">
        <v>39</v>
      </c>
      <c r="G336" s="0" t="s">
        <v>40</v>
      </c>
      <c r="H336" s="0" t="s">
        <v>1919</v>
      </c>
      <c r="I336" s="0" t="s">
        <v>111</v>
      </c>
      <c r="J336" s="0" t="s">
        <v>112</v>
      </c>
      <c r="K336" s="0" t="s">
        <v>46</v>
      </c>
      <c r="L336" s="0" t="str">
        <f aca="false">HYPERLINK("https://www.ncbi.nlm.nih.gov/snp/rs138325359", "rs138325359")</f>
        <v>rs138325359</v>
      </c>
      <c r="M336" s="0" t="str">
        <f aca="false">HYPERLINK("https://www.genecards.org/Search/Keyword?queryString=%5Baliases%5D(%20C9orf135%20)&amp;keywords=C9orf135", "C9orf135")</f>
        <v>C9orf135</v>
      </c>
      <c r="N336" s="0" t="s">
        <v>98</v>
      </c>
      <c r="O336" s="0" t="s">
        <v>99</v>
      </c>
      <c r="P336" s="0" t="s">
        <v>1920</v>
      </c>
      <c r="Q336" s="0" t="n">
        <v>0.0043</v>
      </c>
      <c r="R336" s="0" t="n">
        <v>0.0012</v>
      </c>
      <c r="S336" s="0" t="n">
        <v>0.0018</v>
      </c>
      <c r="T336" s="0" t="n">
        <v>-1</v>
      </c>
      <c r="U336" s="0" t="n">
        <v>0.0004</v>
      </c>
      <c r="V336" s="0" t="s">
        <v>126</v>
      </c>
      <c r="W336" s="0" t="s">
        <v>46</v>
      </c>
      <c r="X336" s="0" t="s">
        <v>46</v>
      </c>
      <c r="Y336" s="0" t="s">
        <v>46</v>
      </c>
      <c r="Z336" s="0" t="s">
        <v>138</v>
      </c>
      <c r="AA336" s="0" t="s">
        <v>171</v>
      </c>
      <c r="AB336" s="0" t="s">
        <v>46</v>
      </c>
      <c r="AC336" s="0" t="s">
        <v>51</v>
      </c>
      <c r="AD336" s="0" t="s">
        <v>52</v>
      </c>
      <c r="AE336" s="0" t="s">
        <v>1921</v>
      </c>
      <c r="AF336" s="0" t="s">
        <v>1922</v>
      </c>
      <c r="AG336" s="0" t="s">
        <v>46</v>
      </c>
      <c r="AH336" s="0" t="s">
        <v>46</v>
      </c>
      <c r="AI336" s="0" t="s">
        <v>46</v>
      </c>
      <c r="AJ336" s="0" t="s">
        <v>46</v>
      </c>
      <c r="AK336" s="0" t="s">
        <v>46</v>
      </c>
      <c r="AL336" s="0" t="s">
        <v>46</v>
      </c>
    </row>
    <row r="337" customFormat="false" ht="15" hidden="false" customHeight="false" outlineLevel="0" collapsed="false">
      <c r="B337" s="0" t="str">
        <f aca="false">HYPERLINK("https://genome.ucsc.edu/cgi-bin/hgTracks?db=hg19&amp;position=chr9%3A88937372%2D88937372", "chr9:88937372")</f>
        <v>chr9:88937372</v>
      </c>
      <c r="C337" s="0" t="s">
        <v>142</v>
      </c>
      <c r="D337" s="0" t="n">
        <v>88937372</v>
      </c>
      <c r="E337" s="0" t="n">
        <v>88937372</v>
      </c>
      <c r="F337" s="0" t="s">
        <v>40</v>
      </c>
      <c r="G337" s="0" t="s">
        <v>69</v>
      </c>
      <c r="H337" s="0" t="s">
        <v>1077</v>
      </c>
      <c r="I337" s="0" t="s">
        <v>559</v>
      </c>
      <c r="J337" s="0" t="s">
        <v>560</v>
      </c>
      <c r="K337" s="0" t="s">
        <v>46</v>
      </c>
      <c r="L337" s="0" t="s">
        <v>46</v>
      </c>
      <c r="M337" s="0" t="str">
        <f aca="false">HYPERLINK("https://www.genecards.org/Search/Keyword?queryString=%5Baliases%5D(%20TUT7%20)%20OR%20%5Baliases%5D(%20ZCCHC6%20)&amp;keywords=TUT7,ZCCHC6", "TUT7;ZCCHC6")</f>
        <v>TUT7;ZCCHC6</v>
      </c>
      <c r="N337" s="0" t="s">
        <v>98</v>
      </c>
      <c r="O337" s="0" t="s">
        <v>99</v>
      </c>
      <c r="P337" s="0" t="s">
        <v>1923</v>
      </c>
      <c r="Q337" s="0" t="n">
        <v>-1</v>
      </c>
      <c r="R337" s="0" t="n">
        <v>-1</v>
      </c>
      <c r="S337" s="0" t="n">
        <v>-1</v>
      </c>
      <c r="T337" s="0" t="n">
        <v>-1</v>
      </c>
      <c r="U337" s="0" t="n">
        <v>-1</v>
      </c>
      <c r="V337" s="0" t="s">
        <v>596</v>
      </c>
      <c r="W337" s="0" t="s">
        <v>46</v>
      </c>
      <c r="X337" s="0" t="s">
        <v>46</v>
      </c>
      <c r="Y337" s="0" t="s">
        <v>46</v>
      </c>
      <c r="Z337" s="0" t="s">
        <v>183</v>
      </c>
      <c r="AA337" s="0" t="s">
        <v>171</v>
      </c>
      <c r="AB337" s="0" t="s">
        <v>46</v>
      </c>
      <c r="AC337" s="0" t="s">
        <v>51</v>
      </c>
      <c r="AD337" s="0" t="s">
        <v>437</v>
      </c>
      <c r="AE337" s="0" t="s">
        <v>1924</v>
      </c>
      <c r="AF337" s="0" t="s">
        <v>1925</v>
      </c>
      <c r="AG337" s="0" t="s">
        <v>1926</v>
      </c>
      <c r="AH337" s="0" t="s">
        <v>46</v>
      </c>
      <c r="AI337" s="0" t="s">
        <v>46</v>
      </c>
      <c r="AJ337" s="0" t="s">
        <v>46</v>
      </c>
      <c r="AK337" s="0" t="s">
        <v>46</v>
      </c>
      <c r="AL337" s="0" t="s">
        <v>46</v>
      </c>
    </row>
    <row r="338" customFormat="false" ht="15" hidden="false" customHeight="false" outlineLevel="0" collapsed="false">
      <c r="B338" s="0" t="str">
        <f aca="false">HYPERLINK("https://genome.ucsc.edu/cgi-bin/hgTracks?db=hg19&amp;position=chr9%3A96030962%2D96030962", "chr9:96030962")</f>
        <v>chr9:96030962</v>
      </c>
      <c r="C338" s="0" t="s">
        <v>142</v>
      </c>
      <c r="D338" s="0" t="n">
        <v>96030962</v>
      </c>
      <c r="E338" s="0" t="n">
        <v>96030962</v>
      </c>
      <c r="F338" s="0" t="s">
        <v>69</v>
      </c>
      <c r="G338" s="0" t="s">
        <v>39</v>
      </c>
      <c r="H338" s="0" t="s">
        <v>812</v>
      </c>
      <c r="I338" s="0" t="s">
        <v>1292</v>
      </c>
      <c r="J338" s="0" t="s">
        <v>1927</v>
      </c>
      <c r="K338" s="0" t="s">
        <v>46</v>
      </c>
      <c r="L338" s="0" t="s">
        <v>46</v>
      </c>
      <c r="M338" s="0" t="str">
        <f aca="false">HYPERLINK("https://www.genecards.org/Search/Keyword?queryString=%5Baliases%5D(%20WNK2%20)&amp;keywords=WNK2", "WNK2")</f>
        <v>WNK2</v>
      </c>
      <c r="N338" s="0" t="s">
        <v>98</v>
      </c>
      <c r="O338" s="0" t="s">
        <v>99</v>
      </c>
      <c r="P338" s="0" t="s">
        <v>1928</v>
      </c>
      <c r="Q338" s="0" t="n">
        <v>-1</v>
      </c>
      <c r="R338" s="0" t="n">
        <v>-1</v>
      </c>
      <c r="S338" s="0" t="n">
        <v>-1</v>
      </c>
      <c r="T338" s="0" t="n">
        <v>-1</v>
      </c>
      <c r="U338" s="0" t="n">
        <v>-1</v>
      </c>
      <c r="V338" s="0" t="s">
        <v>502</v>
      </c>
      <c r="W338" s="0" t="s">
        <v>46</v>
      </c>
      <c r="X338" s="0" t="s">
        <v>46</v>
      </c>
      <c r="Y338" s="0" t="s">
        <v>46</v>
      </c>
      <c r="Z338" s="0" t="s">
        <v>49</v>
      </c>
      <c r="AA338" s="0" t="s">
        <v>171</v>
      </c>
      <c r="AB338" s="0" t="s">
        <v>46</v>
      </c>
      <c r="AC338" s="0" t="s">
        <v>51</v>
      </c>
      <c r="AD338" s="0" t="s">
        <v>856</v>
      </c>
      <c r="AE338" s="0" t="s">
        <v>1929</v>
      </c>
      <c r="AF338" s="0" t="s">
        <v>1930</v>
      </c>
      <c r="AG338" s="0" t="s">
        <v>1931</v>
      </c>
      <c r="AH338" s="0" t="s">
        <v>46</v>
      </c>
      <c r="AI338" s="0" t="s">
        <v>46</v>
      </c>
      <c r="AJ338" s="0" t="s">
        <v>46</v>
      </c>
      <c r="AK338" s="0" t="s">
        <v>46</v>
      </c>
      <c r="AL338" s="0" t="s">
        <v>46</v>
      </c>
    </row>
    <row r="339" customFormat="false" ht="15" hidden="false" customHeight="false" outlineLevel="0" collapsed="false">
      <c r="B339" s="0" t="str">
        <f aca="false">HYPERLINK("https://genome.ucsc.edu/cgi-bin/hgTracks?db=hg19&amp;position=chr9%3A96030968%2D96030968", "chr9:96030968")</f>
        <v>chr9:96030968</v>
      </c>
      <c r="C339" s="0" t="s">
        <v>142</v>
      </c>
      <c r="D339" s="0" t="n">
        <v>96030968</v>
      </c>
      <c r="E339" s="0" t="n">
        <v>96030968</v>
      </c>
      <c r="F339" s="0" t="s">
        <v>69</v>
      </c>
      <c r="G339" s="0" t="s">
        <v>39</v>
      </c>
      <c r="H339" s="0" t="s">
        <v>812</v>
      </c>
      <c r="I339" s="0" t="s">
        <v>1292</v>
      </c>
      <c r="J339" s="0" t="s">
        <v>1927</v>
      </c>
      <c r="K339" s="0" t="s">
        <v>46</v>
      </c>
      <c r="L339" s="0" t="s">
        <v>46</v>
      </c>
      <c r="M339" s="0" t="str">
        <f aca="false">HYPERLINK("https://www.genecards.org/Search/Keyword?queryString=%5Baliases%5D(%20WNK2%20)&amp;keywords=WNK2", "WNK2")</f>
        <v>WNK2</v>
      </c>
      <c r="N339" s="0" t="s">
        <v>98</v>
      </c>
      <c r="O339" s="0" t="s">
        <v>99</v>
      </c>
      <c r="P339" s="0" t="s">
        <v>1932</v>
      </c>
      <c r="Q339" s="0" t="n">
        <v>-1</v>
      </c>
      <c r="R339" s="0" t="n">
        <v>-1</v>
      </c>
      <c r="S339" s="0" t="n">
        <v>-1</v>
      </c>
      <c r="T339" s="0" t="n">
        <v>-1</v>
      </c>
      <c r="U339" s="0" t="n">
        <v>-1</v>
      </c>
      <c r="V339" s="0" t="s">
        <v>688</v>
      </c>
      <c r="W339" s="0" t="s">
        <v>46</v>
      </c>
      <c r="X339" s="0" t="s">
        <v>46</v>
      </c>
      <c r="Y339" s="0" t="s">
        <v>46</v>
      </c>
      <c r="Z339" s="0" t="s">
        <v>102</v>
      </c>
      <c r="AA339" s="0" t="s">
        <v>171</v>
      </c>
      <c r="AB339" s="0" t="s">
        <v>46</v>
      </c>
      <c r="AC339" s="0" t="s">
        <v>51</v>
      </c>
      <c r="AD339" s="0" t="s">
        <v>856</v>
      </c>
      <c r="AE339" s="0" t="s">
        <v>1929</v>
      </c>
      <c r="AF339" s="0" t="s">
        <v>1930</v>
      </c>
      <c r="AG339" s="0" t="s">
        <v>1931</v>
      </c>
      <c r="AH339" s="0" t="s">
        <v>46</v>
      </c>
      <c r="AI339" s="0" t="s">
        <v>46</v>
      </c>
      <c r="AJ339" s="0" t="s">
        <v>46</v>
      </c>
      <c r="AK339" s="0" t="s">
        <v>46</v>
      </c>
      <c r="AL339" s="0" t="s">
        <v>46</v>
      </c>
    </row>
    <row r="340" s="4" customFormat="true" ht="15" hidden="false" customHeight="false" outlineLevel="0" collapsed="false">
      <c r="A340" s="0"/>
      <c r="B340" s="0" t="str">
        <f aca="false">HYPERLINK("https://genome.ucsc.edu/cgi-bin/hgTracks?db=hg19&amp;position=chr9%3A104319850%2D104319850", "chr9:104319850")</f>
        <v>chr9:104319850</v>
      </c>
      <c r="C340" s="0" t="s">
        <v>142</v>
      </c>
      <c r="D340" s="0" t="n">
        <v>104319850</v>
      </c>
      <c r="E340" s="0" t="n">
        <v>104319850</v>
      </c>
      <c r="F340" s="0" t="s">
        <v>39</v>
      </c>
      <c r="G340" s="0" t="s">
        <v>57</v>
      </c>
      <c r="H340" s="0" t="s">
        <v>1933</v>
      </c>
      <c r="I340" s="0" t="s">
        <v>581</v>
      </c>
      <c r="J340" s="0" t="s">
        <v>1934</v>
      </c>
      <c r="K340" s="0" t="s">
        <v>46</v>
      </c>
      <c r="L340" s="0" t="s">
        <v>46</v>
      </c>
      <c r="M340" s="0" t="str">
        <f aca="false">HYPERLINK("https://www.genecards.org/Search/Keyword?queryString=%5Baliases%5D(%20RNF20%20)&amp;keywords=RNF20", "RNF20")</f>
        <v>RNF20</v>
      </c>
      <c r="N340" s="0" t="s">
        <v>98</v>
      </c>
      <c r="O340" s="0" t="s">
        <v>99</v>
      </c>
      <c r="P340" s="0" t="s">
        <v>1935</v>
      </c>
      <c r="Q340" s="0" t="n">
        <v>-1</v>
      </c>
      <c r="R340" s="0" t="n">
        <v>-1</v>
      </c>
      <c r="S340" s="0" t="n">
        <v>-1</v>
      </c>
      <c r="T340" s="0" t="n">
        <v>-1</v>
      </c>
      <c r="U340" s="0" t="n">
        <v>-1</v>
      </c>
      <c r="V340" s="0" t="s">
        <v>600</v>
      </c>
      <c r="W340" s="0" t="s">
        <v>46</v>
      </c>
      <c r="X340" s="0" t="s">
        <v>46</v>
      </c>
      <c r="Y340" s="0" t="s">
        <v>46</v>
      </c>
      <c r="Z340" s="0" t="s">
        <v>102</v>
      </c>
      <c r="AA340" s="0" t="s">
        <v>171</v>
      </c>
      <c r="AB340" s="0" t="s">
        <v>46</v>
      </c>
      <c r="AC340" s="0" t="s">
        <v>51</v>
      </c>
      <c r="AD340" s="0" t="s">
        <v>52</v>
      </c>
      <c r="AE340" s="0" t="s">
        <v>1936</v>
      </c>
      <c r="AF340" s="0" t="s">
        <v>1937</v>
      </c>
      <c r="AG340" s="0" t="s">
        <v>1938</v>
      </c>
      <c r="AH340" s="0" t="s">
        <v>46</v>
      </c>
      <c r="AI340" s="0" t="s">
        <v>46</v>
      </c>
      <c r="AJ340" s="0" t="s">
        <v>46</v>
      </c>
      <c r="AK340" s="0" t="s">
        <v>46</v>
      </c>
      <c r="AL340" s="0" t="s">
        <v>46</v>
      </c>
    </row>
    <row r="341" s="4" customFormat="true" ht="15" hidden="false" customHeight="false" outlineLevel="0" collapsed="false">
      <c r="A341" s="0"/>
      <c r="B341" s="0" t="str">
        <f aca="false">HYPERLINK("https://genome.ucsc.edu/cgi-bin/hgTracks?db=hg19&amp;position=chr9%3A117359931%2D117359931", "chr9:117359931")</f>
        <v>chr9:117359931</v>
      </c>
      <c r="C341" s="0" t="s">
        <v>142</v>
      </c>
      <c r="D341" s="0" t="n">
        <v>117359931</v>
      </c>
      <c r="E341" s="0" t="n">
        <v>117359931</v>
      </c>
      <c r="F341" s="0" t="s">
        <v>39</v>
      </c>
      <c r="G341" s="0" t="s">
        <v>40</v>
      </c>
      <c r="H341" s="0" t="s">
        <v>1939</v>
      </c>
      <c r="I341" s="0" t="s">
        <v>220</v>
      </c>
      <c r="J341" s="0" t="s">
        <v>1940</v>
      </c>
      <c r="K341" s="0" t="s">
        <v>46</v>
      </c>
      <c r="L341" s="0" t="str">
        <f aca="false">HYPERLINK("https://www.ncbi.nlm.nih.gov/snp/rs1025449499", "rs1025449499")</f>
        <v>rs1025449499</v>
      </c>
      <c r="M341" s="0" t="str">
        <f aca="false">HYPERLINK("https://www.genecards.org/Search/Keyword?queryString=%5Baliases%5D(%20ATP6V1G1%20)&amp;keywords=ATP6V1G1", "ATP6V1G1")</f>
        <v>ATP6V1G1</v>
      </c>
      <c r="N341" s="0" t="s">
        <v>98</v>
      </c>
      <c r="O341" s="0" t="s">
        <v>99</v>
      </c>
      <c r="P341" s="0" t="s">
        <v>1941</v>
      </c>
      <c r="Q341" s="0" t="n">
        <v>0.0001</v>
      </c>
      <c r="R341" s="0" t="n">
        <v>0.0001</v>
      </c>
      <c r="S341" s="0" t="n">
        <v>0.0003</v>
      </c>
      <c r="T341" s="0" t="n">
        <v>-1</v>
      </c>
      <c r="U341" s="0" t="n">
        <v>0.0004</v>
      </c>
      <c r="V341" s="0" t="s">
        <v>170</v>
      </c>
      <c r="W341" s="0" t="s">
        <v>46</v>
      </c>
      <c r="X341" s="0" t="s">
        <v>46</v>
      </c>
      <c r="Y341" s="0" t="s">
        <v>46</v>
      </c>
      <c r="Z341" s="0" t="s">
        <v>231</v>
      </c>
      <c r="AA341" s="0" t="s">
        <v>171</v>
      </c>
      <c r="AB341" s="0" t="s">
        <v>46</v>
      </c>
      <c r="AC341" s="0" t="s">
        <v>51</v>
      </c>
      <c r="AD341" s="0" t="s">
        <v>52</v>
      </c>
      <c r="AE341" s="0" t="s">
        <v>1942</v>
      </c>
      <c r="AF341" s="0" t="s">
        <v>1943</v>
      </c>
      <c r="AG341" s="0" t="s">
        <v>1944</v>
      </c>
      <c r="AH341" s="0" t="s">
        <v>46</v>
      </c>
      <c r="AI341" s="0" t="s">
        <v>46</v>
      </c>
      <c r="AJ341" s="0" t="s">
        <v>46</v>
      </c>
      <c r="AK341" s="0" t="s">
        <v>46</v>
      </c>
      <c r="AL341" s="0" t="s">
        <v>46</v>
      </c>
    </row>
    <row r="342" s="3" customFormat="true" ht="15" hidden="false" customHeight="false" outlineLevel="0" collapsed="false">
      <c r="A342" s="0"/>
      <c r="B342" s="0" t="str">
        <f aca="false">HYPERLINK("https://genome.ucsc.edu/cgi-bin/hgTracks?db=hg19&amp;position=chr9%3A127618752%2D127618752", "chr9:127618752")</f>
        <v>chr9:127618752</v>
      </c>
      <c r="C342" s="0" t="s">
        <v>142</v>
      </c>
      <c r="D342" s="0" t="n">
        <v>127618752</v>
      </c>
      <c r="E342" s="0" t="n">
        <v>127618752</v>
      </c>
      <c r="F342" s="0" t="s">
        <v>39</v>
      </c>
      <c r="G342" s="0" t="s">
        <v>40</v>
      </c>
      <c r="H342" s="0" t="s">
        <v>1945</v>
      </c>
      <c r="I342" s="0" t="s">
        <v>452</v>
      </c>
      <c r="J342" s="0" t="s">
        <v>1946</v>
      </c>
      <c r="K342" s="0" t="s">
        <v>46</v>
      </c>
      <c r="L342" s="0" t="str">
        <f aca="false">HYPERLINK("https://www.ncbi.nlm.nih.gov/snp/rs61738476", "rs61738476")</f>
        <v>rs61738476</v>
      </c>
      <c r="M342" s="0" t="str">
        <f aca="false">HYPERLINK("https://www.genecards.org/Search/Keyword?queryString=%5Baliases%5D(%20WDR38%20)&amp;keywords=WDR38", "WDR38")</f>
        <v>WDR38</v>
      </c>
      <c r="N342" s="0" t="s">
        <v>98</v>
      </c>
      <c r="O342" s="0" t="s">
        <v>99</v>
      </c>
      <c r="P342" s="0" t="s">
        <v>1947</v>
      </c>
      <c r="Q342" s="0" t="n">
        <v>0.0262</v>
      </c>
      <c r="R342" s="0" t="n">
        <v>0.0196</v>
      </c>
      <c r="S342" s="0" t="n">
        <v>0.0192</v>
      </c>
      <c r="T342" s="0" t="n">
        <v>-1</v>
      </c>
      <c r="U342" s="0" t="n">
        <v>0.0205</v>
      </c>
      <c r="V342" s="0" t="s">
        <v>323</v>
      </c>
      <c r="W342" s="0" t="s">
        <v>46</v>
      </c>
      <c r="X342" s="0" t="s">
        <v>46</v>
      </c>
      <c r="Y342" s="0" t="s">
        <v>46</v>
      </c>
      <c r="Z342" s="0" t="s">
        <v>138</v>
      </c>
      <c r="AA342" s="0" t="s">
        <v>171</v>
      </c>
      <c r="AB342" s="0" t="s">
        <v>46</v>
      </c>
      <c r="AC342" s="0" t="s">
        <v>51</v>
      </c>
      <c r="AD342" s="0" t="s">
        <v>52</v>
      </c>
      <c r="AE342" s="0" t="s">
        <v>1948</v>
      </c>
      <c r="AF342" s="0" t="s">
        <v>1949</v>
      </c>
      <c r="AG342" s="0" t="s">
        <v>46</v>
      </c>
      <c r="AH342" s="0" t="s">
        <v>46</v>
      </c>
      <c r="AI342" s="0" t="s">
        <v>46</v>
      </c>
      <c r="AJ342" s="0" t="s">
        <v>46</v>
      </c>
      <c r="AK342" s="0" t="s">
        <v>46</v>
      </c>
      <c r="AL342" s="0" t="s">
        <v>46</v>
      </c>
    </row>
    <row r="343" customFormat="false" ht="15" hidden="false" customHeight="false" outlineLevel="0" collapsed="false">
      <c r="B343" s="0" t="str">
        <f aca="false">HYPERLINK("https://genome.ucsc.edu/cgi-bin/hgTracks?db=hg19&amp;position=chr9%3A133942559%2D133942559", "chr9:133942559")</f>
        <v>chr9:133942559</v>
      </c>
      <c r="C343" s="0" t="s">
        <v>142</v>
      </c>
      <c r="D343" s="0" t="n">
        <v>133942559</v>
      </c>
      <c r="E343" s="0" t="n">
        <v>133942559</v>
      </c>
      <c r="F343" s="0" t="s">
        <v>69</v>
      </c>
      <c r="G343" s="0" t="s">
        <v>57</v>
      </c>
      <c r="H343" s="0" t="s">
        <v>1507</v>
      </c>
      <c r="I343" s="0" t="s">
        <v>1121</v>
      </c>
      <c r="J343" s="0" t="s">
        <v>1950</v>
      </c>
      <c r="K343" s="0" t="s">
        <v>46</v>
      </c>
      <c r="L343" s="0" t="str">
        <f aca="false">HYPERLINK("https://www.ncbi.nlm.nih.gov/snp/rs769637756", "rs769637756")</f>
        <v>rs769637756</v>
      </c>
      <c r="M343" s="0" t="str">
        <f aca="false">HYPERLINK("https://www.genecards.org/Search/Keyword?queryString=%5Baliases%5D(%20LAMC3%20)&amp;keywords=LAMC3", "LAMC3")</f>
        <v>LAMC3</v>
      </c>
      <c r="N343" s="0" t="s">
        <v>98</v>
      </c>
      <c r="O343" s="0" t="s">
        <v>99</v>
      </c>
      <c r="P343" s="0" t="s">
        <v>1951</v>
      </c>
      <c r="Q343" s="0" t="n">
        <v>0.0002</v>
      </c>
      <c r="R343" s="0" t="n">
        <v>0.0002</v>
      </c>
      <c r="S343" s="0" t="n">
        <v>0.0003</v>
      </c>
      <c r="T343" s="0" t="n">
        <v>-1</v>
      </c>
      <c r="U343" s="0" t="n">
        <v>-1</v>
      </c>
      <c r="V343" s="0" t="s">
        <v>767</v>
      </c>
      <c r="W343" s="0" t="s">
        <v>46</v>
      </c>
      <c r="X343" s="0" t="s">
        <v>46</v>
      </c>
      <c r="Y343" s="0" t="s">
        <v>46</v>
      </c>
      <c r="Z343" s="0" t="s">
        <v>49</v>
      </c>
      <c r="AA343" s="0" t="s">
        <v>171</v>
      </c>
      <c r="AB343" s="0" t="s">
        <v>46</v>
      </c>
      <c r="AC343" s="0" t="s">
        <v>51</v>
      </c>
      <c r="AD343" s="0" t="s">
        <v>856</v>
      </c>
      <c r="AE343" s="0" t="s">
        <v>1952</v>
      </c>
      <c r="AF343" s="0" t="s">
        <v>1953</v>
      </c>
      <c r="AG343" s="0" t="s">
        <v>1328</v>
      </c>
      <c r="AH343" s="0" t="s">
        <v>1954</v>
      </c>
      <c r="AI343" s="0" t="s">
        <v>46</v>
      </c>
      <c r="AJ343" s="0" t="s">
        <v>46</v>
      </c>
      <c r="AK343" s="0" t="s">
        <v>46</v>
      </c>
      <c r="AL343" s="0" t="s">
        <v>46</v>
      </c>
    </row>
    <row r="344" customFormat="false" ht="15" hidden="false" customHeight="false" outlineLevel="0" collapsed="false">
      <c r="B344" s="0" t="str">
        <f aca="false">HYPERLINK("https://genome.ucsc.edu/cgi-bin/hgTracks?db=hg19&amp;position=chr9%3A133961028%2D133961028", "chr9:133961028")</f>
        <v>chr9:133961028</v>
      </c>
      <c r="C344" s="0" t="s">
        <v>142</v>
      </c>
      <c r="D344" s="0" t="n">
        <v>133961028</v>
      </c>
      <c r="E344" s="0" t="n">
        <v>133961028</v>
      </c>
      <c r="F344" s="0" t="s">
        <v>40</v>
      </c>
      <c r="G344" s="0" t="s">
        <v>57</v>
      </c>
      <c r="H344" s="0" t="s">
        <v>1696</v>
      </c>
      <c r="I344" s="0" t="s">
        <v>756</v>
      </c>
      <c r="J344" s="0" t="s">
        <v>1955</v>
      </c>
      <c r="K344" s="0" t="s">
        <v>46</v>
      </c>
      <c r="L344" s="0" t="str">
        <f aca="false">HYPERLINK("https://www.ncbi.nlm.nih.gov/snp/rs200506003", "rs200506003")</f>
        <v>rs200506003</v>
      </c>
      <c r="M344" s="0" t="str">
        <f aca="false">HYPERLINK("https://www.genecards.org/Search/Keyword?queryString=%5Baliases%5D(%20LAMC3%20)&amp;keywords=LAMC3", "LAMC3")</f>
        <v>LAMC3</v>
      </c>
      <c r="N344" s="0" t="s">
        <v>98</v>
      </c>
      <c r="O344" s="0" t="s">
        <v>99</v>
      </c>
      <c r="P344" s="0" t="s">
        <v>1956</v>
      </c>
      <c r="Q344" s="0" t="n">
        <v>0.0006</v>
      </c>
      <c r="R344" s="0" t="n">
        <v>0.0002</v>
      </c>
      <c r="S344" s="0" t="n">
        <v>0.0002</v>
      </c>
      <c r="T344" s="0" t="n">
        <v>-1</v>
      </c>
      <c r="U344" s="0" t="n">
        <v>0.0002</v>
      </c>
      <c r="V344" s="0" t="s">
        <v>257</v>
      </c>
      <c r="W344" s="0" t="s">
        <v>46</v>
      </c>
      <c r="X344" s="0" t="s">
        <v>46</v>
      </c>
      <c r="Y344" s="0" t="s">
        <v>46</v>
      </c>
      <c r="Z344" s="0" t="s">
        <v>138</v>
      </c>
      <c r="AA344" s="0" t="s">
        <v>171</v>
      </c>
      <c r="AB344" s="0" t="s">
        <v>46</v>
      </c>
      <c r="AC344" s="0" t="s">
        <v>51</v>
      </c>
      <c r="AD344" s="0" t="s">
        <v>856</v>
      </c>
      <c r="AE344" s="0" t="s">
        <v>1952</v>
      </c>
      <c r="AF344" s="0" t="s">
        <v>1953</v>
      </c>
      <c r="AG344" s="0" t="s">
        <v>1328</v>
      </c>
      <c r="AH344" s="0" t="s">
        <v>1954</v>
      </c>
      <c r="AI344" s="0" t="s">
        <v>46</v>
      </c>
      <c r="AJ344" s="0" t="s">
        <v>46</v>
      </c>
      <c r="AK344" s="0" t="s">
        <v>46</v>
      </c>
      <c r="AL344" s="0" t="s">
        <v>46</v>
      </c>
    </row>
    <row r="345" customFormat="false" ht="15" hidden="false" customHeight="false" outlineLevel="0" collapsed="false">
      <c r="B345" s="0" t="str">
        <f aca="false">HYPERLINK("https://genome.ucsc.edu/cgi-bin/hgTracks?db=hg19&amp;position=chr9%3A136216859%2D136216859", "chr9:136216859")</f>
        <v>chr9:136216859</v>
      </c>
      <c r="C345" s="0" t="s">
        <v>142</v>
      </c>
      <c r="D345" s="0" t="n">
        <v>136216859</v>
      </c>
      <c r="E345" s="0" t="n">
        <v>136216859</v>
      </c>
      <c r="F345" s="0" t="s">
        <v>69</v>
      </c>
      <c r="G345" s="0" t="s">
        <v>57</v>
      </c>
      <c r="H345" s="0" t="s">
        <v>1957</v>
      </c>
      <c r="I345" s="0" t="s">
        <v>71</v>
      </c>
      <c r="J345" s="0" t="s">
        <v>228</v>
      </c>
      <c r="K345" s="0" t="s">
        <v>46</v>
      </c>
      <c r="L345" s="0" t="s">
        <v>46</v>
      </c>
      <c r="M345" s="0" t="str">
        <f aca="false">HYPERLINK("https://www.genecards.org/Search/Keyword?queryString=%5Baliases%5D(%20RPL7A%20)&amp;keywords=RPL7A", "RPL7A")</f>
        <v>RPL7A</v>
      </c>
      <c r="N345" s="0" t="s">
        <v>98</v>
      </c>
      <c r="O345" s="0" t="s">
        <v>99</v>
      </c>
      <c r="P345" s="0" t="s">
        <v>1958</v>
      </c>
      <c r="Q345" s="0" t="n">
        <v>-1</v>
      </c>
      <c r="R345" s="0" t="n">
        <v>-1</v>
      </c>
      <c r="S345" s="0" t="n">
        <v>-1</v>
      </c>
      <c r="T345" s="0" t="n">
        <v>-1</v>
      </c>
      <c r="U345" s="0" t="n">
        <v>-1</v>
      </c>
      <c r="V345" s="0" t="s">
        <v>596</v>
      </c>
      <c r="W345" s="0" t="s">
        <v>46</v>
      </c>
      <c r="X345" s="0" t="s">
        <v>46</v>
      </c>
      <c r="Y345" s="0" t="s">
        <v>46</v>
      </c>
      <c r="Z345" s="0" t="s">
        <v>231</v>
      </c>
      <c r="AA345" s="0" t="s">
        <v>171</v>
      </c>
      <c r="AB345" s="0" t="s">
        <v>46</v>
      </c>
      <c r="AC345" s="0" t="s">
        <v>51</v>
      </c>
      <c r="AD345" s="0" t="s">
        <v>52</v>
      </c>
      <c r="AE345" s="0" t="s">
        <v>1959</v>
      </c>
      <c r="AF345" s="0" t="s">
        <v>1960</v>
      </c>
      <c r="AG345" s="0" t="s">
        <v>46</v>
      </c>
      <c r="AH345" s="0" t="s">
        <v>1961</v>
      </c>
      <c r="AI345" s="0" t="s">
        <v>46</v>
      </c>
      <c r="AJ345" s="0" t="s">
        <v>46</v>
      </c>
      <c r="AK345" s="0" t="s">
        <v>46</v>
      </c>
      <c r="AL345" s="0" t="s">
        <v>46</v>
      </c>
    </row>
    <row r="346" customFormat="false" ht="15" hidden="false" customHeight="false" outlineLevel="0" collapsed="false">
      <c r="B346" s="0" t="str">
        <f aca="false">HYPERLINK("https://genome.ucsc.edu/cgi-bin/hgTracks?db=hg19&amp;position=chrX%3A48814658%2D48814658", "chrX:48814658")</f>
        <v>chrX:48814658</v>
      </c>
      <c r="C346" s="0" t="s">
        <v>1962</v>
      </c>
      <c r="D346" s="0" t="n">
        <v>48814658</v>
      </c>
      <c r="E346" s="0" t="n">
        <v>48814658</v>
      </c>
      <c r="F346" s="0" t="s">
        <v>39</v>
      </c>
      <c r="G346" s="0" t="s">
        <v>40</v>
      </c>
      <c r="H346" s="0" t="s">
        <v>906</v>
      </c>
      <c r="I346" s="0" t="s">
        <v>559</v>
      </c>
      <c r="J346" s="0" t="s">
        <v>560</v>
      </c>
      <c r="K346" s="0" t="s">
        <v>46</v>
      </c>
      <c r="L346" s="0" t="str">
        <f aca="false">HYPERLINK("https://www.ncbi.nlm.nih.gov/snp/rs782219255", "rs782219255")</f>
        <v>rs782219255</v>
      </c>
      <c r="M346" s="0" t="str">
        <f aca="false">HYPERLINK("https://www.genecards.org/Search/Keyword?queryString=%5Baliases%5D(%20OTUD5%20)&amp;keywords=OTUD5", "OTUD5")</f>
        <v>OTUD5</v>
      </c>
      <c r="N346" s="0" t="s">
        <v>98</v>
      </c>
      <c r="O346" s="0" t="s">
        <v>99</v>
      </c>
      <c r="P346" s="0" t="s">
        <v>1963</v>
      </c>
      <c r="Q346" s="0" t="n">
        <v>0.0076</v>
      </c>
      <c r="R346" s="0" t="n">
        <v>-1</v>
      </c>
      <c r="S346" s="0" t="n">
        <v>-1</v>
      </c>
      <c r="T346" s="0" t="n">
        <v>-1</v>
      </c>
      <c r="U346" s="0" t="n">
        <v>-1</v>
      </c>
      <c r="V346" s="0" t="s">
        <v>215</v>
      </c>
      <c r="W346" s="0" t="s">
        <v>46</v>
      </c>
      <c r="X346" s="0" t="s">
        <v>46</v>
      </c>
      <c r="Y346" s="0" t="s">
        <v>46</v>
      </c>
      <c r="Z346" s="0" t="s">
        <v>1964</v>
      </c>
      <c r="AA346" s="0" t="s">
        <v>171</v>
      </c>
      <c r="AB346" s="0" t="s">
        <v>46</v>
      </c>
      <c r="AC346" s="0" t="s">
        <v>51</v>
      </c>
      <c r="AD346" s="0" t="s">
        <v>52</v>
      </c>
      <c r="AE346" s="0" t="s">
        <v>1965</v>
      </c>
      <c r="AF346" s="0" t="s">
        <v>1966</v>
      </c>
      <c r="AG346" s="0" t="s">
        <v>1967</v>
      </c>
      <c r="AH346" s="0" t="s">
        <v>46</v>
      </c>
      <c r="AI346" s="0" t="s">
        <v>46</v>
      </c>
      <c r="AJ346" s="0" t="s">
        <v>46</v>
      </c>
      <c r="AK346" s="0" t="s">
        <v>46</v>
      </c>
      <c r="AL346" s="0" t="s">
        <v>46</v>
      </c>
    </row>
    <row r="347" customFormat="false" ht="15" hidden="false" customHeight="false" outlineLevel="0" collapsed="false">
      <c r="B347" s="0" t="str">
        <f aca="false">HYPERLINK("https://genome.ucsc.edu/cgi-bin/hgTracks?db=hg19&amp;position=chrX%3A55172680%2D55172680", "chrX:55172680")</f>
        <v>chrX:55172680</v>
      </c>
      <c r="C347" s="0" t="s">
        <v>1962</v>
      </c>
      <c r="D347" s="0" t="n">
        <v>55172680</v>
      </c>
      <c r="E347" s="0" t="n">
        <v>55172680</v>
      </c>
      <c r="F347" s="0" t="s">
        <v>69</v>
      </c>
      <c r="G347" s="0" t="s">
        <v>39</v>
      </c>
      <c r="H347" s="0" t="s">
        <v>1968</v>
      </c>
      <c r="I347" s="0" t="s">
        <v>1969</v>
      </c>
      <c r="J347" s="0" t="s">
        <v>1970</v>
      </c>
      <c r="K347" s="0" t="s">
        <v>46</v>
      </c>
      <c r="L347" s="0" t="str">
        <f aca="false">HYPERLINK("https://www.ncbi.nlm.nih.gov/snp/rs111638770", "rs111638770")</f>
        <v>rs111638770</v>
      </c>
      <c r="M347" s="0" t="str">
        <f aca="false">HYPERLINK("https://www.genecards.org/Search/Keyword?queryString=%5Baliases%5D(%20FAM104B%20)&amp;keywords=FAM104B", "FAM104B")</f>
        <v>FAM104B</v>
      </c>
      <c r="N347" s="0" t="s">
        <v>98</v>
      </c>
      <c r="O347" s="0" t="s">
        <v>99</v>
      </c>
      <c r="P347" s="0" t="s">
        <v>1971</v>
      </c>
      <c r="Q347" s="0" t="n">
        <v>0.023529</v>
      </c>
      <c r="R347" s="0" t="n">
        <v>-1</v>
      </c>
      <c r="S347" s="0" t="n">
        <v>-1</v>
      </c>
      <c r="T347" s="0" t="n">
        <v>-1</v>
      </c>
      <c r="U347" s="0" t="n">
        <v>-1</v>
      </c>
      <c r="V347" s="0" t="s">
        <v>215</v>
      </c>
      <c r="W347" s="0" t="s">
        <v>46</v>
      </c>
      <c r="X347" s="0" t="s">
        <v>46</v>
      </c>
      <c r="Y347" s="0" t="s">
        <v>46</v>
      </c>
      <c r="Z347" s="0" t="s">
        <v>1972</v>
      </c>
      <c r="AA347" s="0" t="s">
        <v>171</v>
      </c>
      <c r="AB347" s="0" t="s">
        <v>46</v>
      </c>
      <c r="AC347" s="0" t="s">
        <v>51</v>
      </c>
      <c r="AD347" s="0" t="s">
        <v>434</v>
      </c>
      <c r="AE347" s="0" t="s">
        <v>1973</v>
      </c>
      <c r="AF347" s="0" t="s">
        <v>1974</v>
      </c>
      <c r="AG347" s="0" t="s">
        <v>46</v>
      </c>
      <c r="AH347" s="0" t="s">
        <v>46</v>
      </c>
      <c r="AI347" s="0" t="s">
        <v>46</v>
      </c>
      <c r="AJ347" s="0" t="s">
        <v>46</v>
      </c>
      <c r="AK347" s="0" t="s">
        <v>46</v>
      </c>
      <c r="AL347" s="0" t="s">
        <v>609</v>
      </c>
    </row>
    <row r="348" customFormat="false" ht="15" hidden="false" customHeight="false" outlineLevel="0" collapsed="false">
      <c r="B348" s="0" t="str">
        <f aca="false">HYPERLINK("https://genome.ucsc.edu/cgi-bin/hgTracks?db=hg19&amp;position=chrX%3A55172687%2D55172687", "chrX:55172687")</f>
        <v>chrX:55172687</v>
      </c>
      <c r="C348" s="0" t="s">
        <v>1962</v>
      </c>
      <c r="D348" s="0" t="n">
        <v>55172687</v>
      </c>
      <c r="E348" s="0" t="n">
        <v>55172687</v>
      </c>
      <c r="F348" s="0" t="s">
        <v>40</v>
      </c>
      <c r="G348" s="0" t="s">
        <v>39</v>
      </c>
      <c r="H348" s="0" t="s">
        <v>1975</v>
      </c>
      <c r="I348" s="0" t="s">
        <v>982</v>
      </c>
      <c r="J348" s="0" t="s">
        <v>1976</v>
      </c>
      <c r="K348" s="0" t="s">
        <v>46</v>
      </c>
      <c r="L348" s="0" t="str">
        <f aca="false">HYPERLINK("https://www.ncbi.nlm.nih.gov/snp/rs1047037", "rs1047037")</f>
        <v>rs1047037</v>
      </c>
      <c r="M348" s="0" t="str">
        <f aca="false">HYPERLINK("https://www.genecards.org/Search/Keyword?queryString=%5Baliases%5D(%20FAM104B%20)&amp;keywords=FAM104B", "FAM104B")</f>
        <v>FAM104B</v>
      </c>
      <c r="N348" s="0" t="s">
        <v>98</v>
      </c>
      <c r="O348" s="0" t="s">
        <v>99</v>
      </c>
      <c r="P348" s="0" t="s">
        <v>1977</v>
      </c>
      <c r="Q348" s="0" t="n">
        <v>0.0016106</v>
      </c>
      <c r="R348" s="0" t="n">
        <v>-1</v>
      </c>
      <c r="S348" s="0" t="n">
        <v>-1</v>
      </c>
      <c r="T348" s="0" t="n">
        <v>-1</v>
      </c>
      <c r="U348" s="0" t="n">
        <v>-1</v>
      </c>
      <c r="V348" s="0" t="s">
        <v>502</v>
      </c>
      <c r="W348" s="0" t="s">
        <v>46</v>
      </c>
      <c r="X348" s="0" t="s">
        <v>46</v>
      </c>
      <c r="Y348" s="0" t="s">
        <v>46</v>
      </c>
      <c r="Z348" s="0" t="s">
        <v>1972</v>
      </c>
      <c r="AA348" s="0" t="s">
        <v>171</v>
      </c>
      <c r="AB348" s="0" t="s">
        <v>46</v>
      </c>
      <c r="AC348" s="0" t="s">
        <v>51</v>
      </c>
      <c r="AD348" s="0" t="s">
        <v>434</v>
      </c>
      <c r="AE348" s="0" t="s">
        <v>1973</v>
      </c>
      <c r="AF348" s="0" t="s">
        <v>1974</v>
      </c>
      <c r="AG348" s="0" t="s">
        <v>46</v>
      </c>
      <c r="AH348" s="0" t="s">
        <v>46</v>
      </c>
      <c r="AI348" s="0" t="s">
        <v>1978</v>
      </c>
      <c r="AJ348" s="0" t="s">
        <v>46</v>
      </c>
      <c r="AK348" s="0" t="s">
        <v>46</v>
      </c>
      <c r="AL348" s="0" t="s">
        <v>609</v>
      </c>
    </row>
    <row r="349" customFormat="false" ht="15" hidden="false" customHeight="false" outlineLevel="0" collapsed="false">
      <c r="B349" s="0" t="str">
        <f aca="false">HYPERLINK("https://genome.ucsc.edu/cgi-bin/hgTracks?db=hg19&amp;position=chrX%3A55172708%2D55172708", "chrX:55172708")</f>
        <v>chrX:55172708</v>
      </c>
      <c r="C349" s="0" t="s">
        <v>1962</v>
      </c>
      <c r="D349" s="0" t="n">
        <v>55172708</v>
      </c>
      <c r="E349" s="0" t="n">
        <v>55172708</v>
      </c>
      <c r="F349" s="0" t="s">
        <v>40</v>
      </c>
      <c r="G349" s="0" t="s">
        <v>69</v>
      </c>
      <c r="H349" s="0" t="s">
        <v>1979</v>
      </c>
      <c r="I349" s="0" t="s">
        <v>982</v>
      </c>
      <c r="J349" s="0" t="s">
        <v>1980</v>
      </c>
      <c r="K349" s="0" t="s">
        <v>46</v>
      </c>
      <c r="L349" s="0" t="str">
        <f aca="false">HYPERLINK("https://www.ncbi.nlm.nih.gov/snp/rs1047034", "rs1047034")</f>
        <v>rs1047034</v>
      </c>
      <c r="M349" s="0" t="str">
        <f aca="false">HYPERLINK("https://www.genecards.org/Search/Keyword?queryString=%5Baliases%5D(%20FAM104B%20)&amp;keywords=FAM104B", "FAM104B")</f>
        <v>FAM104B</v>
      </c>
      <c r="N349" s="0" t="s">
        <v>98</v>
      </c>
      <c r="O349" s="0" t="s">
        <v>99</v>
      </c>
      <c r="P349" s="0" t="s">
        <v>1981</v>
      </c>
      <c r="Q349" s="0" t="n">
        <v>0.0196828</v>
      </c>
      <c r="R349" s="0" t="n">
        <v>-1</v>
      </c>
      <c r="S349" s="0" t="n">
        <v>-1</v>
      </c>
      <c r="T349" s="0" t="n">
        <v>-1</v>
      </c>
      <c r="U349" s="0" t="n">
        <v>-1</v>
      </c>
      <c r="V349" s="0" t="s">
        <v>215</v>
      </c>
      <c r="W349" s="0" t="s">
        <v>46</v>
      </c>
      <c r="X349" s="0" t="s">
        <v>46</v>
      </c>
      <c r="Y349" s="0" t="s">
        <v>46</v>
      </c>
      <c r="Z349" s="0" t="s">
        <v>1964</v>
      </c>
      <c r="AA349" s="0" t="s">
        <v>171</v>
      </c>
      <c r="AB349" s="0" t="s">
        <v>46</v>
      </c>
      <c r="AC349" s="0" t="s">
        <v>1190</v>
      </c>
      <c r="AD349" s="0" t="s">
        <v>434</v>
      </c>
      <c r="AE349" s="0" t="s">
        <v>1973</v>
      </c>
      <c r="AF349" s="0" t="s">
        <v>1974</v>
      </c>
      <c r="AG349" s="0" t="s">
        <v>46</v>
      </c>
      <c r="AH349" s="0" t="s">
        <v>46</v>
      </c>
      <c r="AI349" s="0" t="s">
        <v>46</v>
      </c>
      <c r="AJ349" s="0" t="s">
        <v>46</v>
      </c>
      <c r="AK349" s="0" t="s">
        <v>46</v>
      </c>
      <c r="AL349" s="0" t="s">
        <v>609</v>
      </c>
    </row>
    <row r="350" customFormat="false" ht="15" hidden="false" customHeight="false" outlineLevel="0" collapsed="false">
      <c r="B350" s="0" t="str">
        <f aca="false">HYPERLINK("https://genome.ucsc.edu/cgi-bin/hgTracks?db=hg19&amp;position=chrX%3A55185656%2D55185656", "chrX:55185656")</f>
        <v>chrX:55185656</v>
      </c>
      <c r="C350" s="0" t="s">
        <v>1962</v>
      </c>
      <c r="D350" s="0" t="n">
        <v>55185656</v>
      </c>
      <c r="E350" s="0" t="n">
        <v>55185656</v>
      </c>
      <c r="F350" s="0" t="s">
        <v>39</v>
      </c>
      <c r="G350" s="0" t="s">
        <v>57</v>
      </c>
      <c r="H350" s="0" t="s">
        <v>1982</v>
      </c>
      <c r="I350" s="0" t="s">
        <v>1323</v>
      </c>
      <c r="J350" s="0" t="s">
        <v>1983</v>
      </c>
      <c r="K350" s="0" t="s">
        <v>46</v>
      </c>
      <c r="L350" s="0" t="str">
        <f aca="false">HYPERLINK("https://www.ncbi.nlm.nih.gov/snp/rs867116961", "rs867116961")</f>
        <v>rs867116961</v>
      </c>
      <c r="M350" s="0" t="str">
        <f aca="false">HYPERLINK("https://www.genecards.org/Search/Keyword?queryString=%5Baliases%5D(%20FAM104B%20)&amp;keywords=FAM104B", "FAM104B")</f>
        <v>FAM104B</v>
      </c>
      <c r="N350" s="0" t="s">
        <v>98</v>
      </c>
      <c r="O350" s="0" t="s">
        <v>99</v>
      </c>
      <c r="P350" s="0" t="s">
        <v>1984</v>
      </c>
      <c r="Q350" s="0" t="n">
        <v>1.94E-005</v>
      </c>
      <c r="R350" s="0" t="n">
        <v>-1</v>
      </c>
      <c r="S350" s="0" t="n">
        <v>-1</v>
      </c>
      <c r="T350" s="0" t="n">
        <v>-1</v>
      </c>
      <c r="U350" s="0" t="n">
        <v>-1</v>
      </c>
      <c r="V350" s="0" t="s">
        <v>170</v>
      </c>
      <c r="W350" s="0" t="s">
        <v>46</v>
      </c>
      <c r="X350" s="0" t="s">
        <v>46</v>
      </c>
      <c r="Y350" s="0" t="s">
        <v>46</v>
      </c>
      <c r="Z350" s="0" t="s">
        <v>1972</v>
      </c>
      <c r="AA350" s="0" t="s">
        <v>171</v>
      </c>
      <c r="AB350" s="0" t="s">
        <v>46</v>
      </c>
      <c r="AC350" s="0" t="s">
        <v>51</v>
      </c>
      <c r="AD350" s="0" t="s">
        <v>434</v>
      </c>
      <c r="AE350" s="0" t="s">
        <v>1973</v>
      </c>
      <c r="AF350" s="0" t="s">
        <v>1974</v>
      </c>
      <c r="AG350" s="0" t="s">
        <v>46</v>
      </c>
      <c r="AH350" s="0" t="s">
        <v>46</v>
      </c>
      <c r="AI350" s="0" t="s">
        <v>46</v>
      </c>
      <c r="AJ350" s="0" t="s">
        <v>46</v>
      </c>
      <c r="AK350" s="0" t="s">
        <v>46</v>
      </c>
      <c r="AL350" s="0" t="s">
        <v>46</v>
      </c>
    </row>
    <row r="351" customFormat="false" ht="15" hidden="false" customHeight="false" outlineLevel="0" collapsed="false">
      <c r="B351" s="0" t="str">
        <f aca="false">HYPERLINK("https://genome.ucsc.edu/cgi-bin/hgTracks?db=hg19&amp;position=chrX%3A150840706%2D150840706", "chrX:150840706")</f>
        <v>chrX:150840706</v>
      </c>
      <c r="C351" s="0" t="s">
        <v>1962</v>
      </c>
      <c r="D351" s="0" t="n">
        <v>150840706</v>
      </c>
      <c r="E351" s="0" t="n">
        <v>150840706</v>
      </c>
      <c r="F351" s="0" t="s">
        <v>39</v>
      </c>
      <c r="G351" s="0" t="s">
        <v>40</v>
      </c>
      <c r="H351" s="0" t="s">
        <v>1985</v>
      </c>
      <c r="I351" s="0" t="s">
        <v>1323</v>
      </c>
      <c r="J351" s="0" t="s">
        <v>1986</v>
      </c>
      <c r="K351" s="0" t="s">
        <v>46</v>
      </c>
      <c r="L351" s="0" t="str">
        <f aca="false">HYPERLINK("https://www.ncbi.nlm.nih.gov/snp/rs779976833", "rs779976833")</f>
        <v>rs779976833</v>
      </c>
      <c r="M351" s="0" t="str">
        <f aca="false">HYPERLINK("https://www.genecards.org/Search/Keyword?queryString=%5Baliases%5D(%20PASD1%20)&amp;keywords=PASD1", "PASD1")</f>
        <v>PASD1</v>
      </c>
      <c r="N351" s="0" t="s">
        <v>98</v>
      </c>
      <c r="O351" s="0" t="s">
        <v>99</v>
      </c>
      <c r="P351" s="0" t="s">
        <v>1987</v>
      </c>
      <c r="Q351" s="0" t="n">
        <v>0.0003299</v>
      </c>
      <c r="R351" s="0" t="n">
        <v>-1</v>
      </c>
      <c r="S351" s="0" t="n">
        <v>-1</v>
      </c>
      <c r="T351" s="0" t="n">
        <v>-1</v>
      </c>
      <c r="U351" s="0" t="n">
        <v>-1</v>
      </c>
      <c r="V351" s="0" t="s">
        <v>215</v>
      </c>
      <c r="W351" s="0" t="s">
        <v>46</v>
      </c>
      <c r="X351" s="0" t="s">
        <v>46</v>
      </c>
      <c r="Y351" s="0" t="s">
        <v>46</v>
      </c>
      <c r="Z351" s="0" t="s">
        <v>1972</v>
      </c>
      <c r="AA351" s="0" t="s">
        <v>171</v>
      </c>
      <c r="AB351" s="0" t="s">
        <v>46</v>
      </c>
      <c r="AC351" s="0" t="s">
        <v>1190</v>
      </c>
      <c r="AD351" s="0" t="s">
        <v>52</v>
      </c>
      <c r="AE351" s="0" t="s">
        <v>1988</v>
      </c>
      <c r="AF351" s="0" t="s">
        <v>1989</v>
      </c>
      <c r="AG351" s="0" t="s">
        <v>1990</v>
      </c>
      <c r="AH351" s="0" t="s">
        <v>46</v>
      </c>
      <c r="AI351" s="0" t="s">
        <v>46</v>
      </c>
      <c r="AJ351" s="0" t="s">
        <v>46</v>
      </c>
      <c r="AK351" s="0" t="s">
        <v>46</v>
      </c>
      <c r="AL351" s="0" t="s">
        <v>46</v>
      </c>
    </row>
    <row r="352" customFormat="false" ht="15" hidden="false" customHeight="false" outlineLevel="0" collapsed="false">
      <c r="A352" s="4"/>
      <c r="B352" s="4" t="str">
        <f aca="false">HYPERLINK("https://genome.ucsc.edu/cgi-bin/hgTracks?db=hg19&amp;position=chr1%3A117142868%2D117142868", "chr1:117142868")</f>
        <v>chr1:117142868</v>
      </c>
      <c r="C352" s="4" t="s">
        <v>56</v>
      </c>
      <c r="D352" s="4" t="n">
        <v>117142868</v>
      </c>
      <c r="E352" s="4" t="n">
        <v>117142868</v>
      </c>
      <c r="F352" s="4" t="s">
        <v>39</v>
      </c>
      <c r="G352" s="4" t="s">
        <v>40</v>
      </c>
      <c r="H352" s="4" t="s">
        <v>1991</v>
      </c>
      <c r="I352" s="4" t="s">
        <v>1992</v>
      </c>
      <c r="J352" s="4" t="s">
        <v>1993</v>
      </c>
      <c r="K352" s="4" t="s">
        <v>46</v>
      </c>
      <c r="L352" s="4" t="str">
        <f aca="false">HYPERLINK("https://www.ncbi.nlm.nih.gov/snp/rs61730489", "rs61730489")</f>
        <v>rs61730489</v>
      </c>
      <c r="M352" s="4" t="str">
        <f aca="false">HYPERLINK("https://www.genecards.org/Search/Keyword?queryString=%5Baliases%5D(%20IGSF3%20)&amp;keywords=IGSF3", "IGSF3")</f>
        <v>IGSF3</v>
      </c>
      <c r="N352" s="4" t="s">
        <v>98</v>
      </c>
      <c r="O352" s="4" t="s">
        <v>371</v>
      </c>
      <c r="P352" s="4" t="s">
        <v>1994</v>
      </c>
      <c r="Q352" s="4" t="n">
        <v>0.0001</v>
      </c>
      <c r="R352" s="4" t="n">
        <v>0.0001</v>
      </c>
      <c r="S352" s="4" t="n">
        <v>0.0003</v>
      </c>
      <c r="T352" s="4" t="n">
        <v>-1</v>
      </c>
      <c r="U352" s="4" t="n">
        <v>0.0002</v>
      </c>
      <c r="V352" s="4" t="s">
        <v>1143</v>
      </c>
      <c r="W352" s="4" t="s">
        <v>46</v>
      </c>
      <c r="X352" s="4" t="s">
        <v>46</v>
      </c>
      <c r="Y352" s="4" t="s">
        <v>46</v>
      </c>
      <c r="Z352" s="4" t="s">
        <v>231</v>
      </c>
      <c r="AA352" s="4" t="s">
        <v>104</v>
      </c>
      <c r="AB352" s="4" t="s">
        <v>46</v>
      </c>
      <c r="AC352" s="4" t="s">
        <v>51</v>
      </c>
      <c r="AD352" s="4" t="s">
        <v>581</v>
      </c>
      <c r="AE352" s="4" t="s">
        <v>582</v>
      </c>
      <c r="AF352" s="4" t="s">
        <v>583</v>
      </c>
      <c r="AG352" s="4" t="s">
        <v>46</v>
      </c>
      <c r="AH352" s="4" t="s">
        <v>46</v>
      </c>
      <c r="AI352" s="4" t="s">
        <v>46</v>
      </c>
      <c r="AJ352" s="4" t="s">
        <v>46</v>
      </c>
      <c r="AK352" s="4" t="s">
        <v>46</v>
      </c>
      <c r="AL352" s="4" t="s">
        <v>584</v>
      </c>
    </row>
    <row r="353" customFormat="false" ht="15" hidden="false" customHeight="false" outlineLevel="0" collapsed="false">
      <c r="A353" s="4"/>
      <c r="B353" s="4" t="str">
        <f aca="false">HYPERLINK("https://genome.ucsc.edu/cgi-bin/hgTracks?db=hg19&amp;position=chr1%3A117156585%2D117156585", "chr1:117156585")</f>
        <v>chr1:117156585</v>
      </c>
      <c r="C353" s="4" t="s">
        <v>56</v>
      </c>
      <c r="D353" s="4" t="n">
        <v>117156585</v>
      </c>
      <c r="E353" s="4" t="n">
        <v>117156585</v>
      </c>
      <c r="F353" s="4" t="s">
        <v>69</v>
      </c>
      <c r="G353" s="4" t="s">
        <v>57</v>
      </c>
      <c r="H353" s="4" t="s">
        <v>610</v>
      </c>
      <c r="I353" s="4" t="s">
        <v>611</v>
      </c>
      <c r="J353" s="4" t="s">
        <v>612</v>
      </c>
      <c r="K353" s="4" t="s">
        <v>46</v>
      </c>
      <c r="L353" s="4" t="str">
        <f aca="false">HYPERLINK("https://www.ncbi.nlm.nih.gov/snp/rs139013364", "rs139013364")</f>
        <v>rs139013364</v>
      </c>
      <c r="M353" s="4" t="str">
        <f aca="false">HYPERLINK("https://www.genecards.org/Search/Keyword?queryString=%5Baliases%5D(%20IGSF3%20)&amp;keywords=IGSF3", "IGSF3")</f>
        <v>IGSF3</v>
      </c>
      <c r="N353" s="4" t="s">
        <v>98</v>
      </c>
      <c r="O353" s="4" t="s">
        <v>371</v>
      </c>
      <c r="P353" s="4" t="s">
        <v>1995</v>
      </c>
      <c r="Q353" s="4" t="n">
        <v>0.0011513</v>
      </c>
      <c r="R353" s="4" t="n">
        <v>-1</v>
      </c>
      <c r="S353" s="4" t="n">
        <v>-1</v>
      </c>
      <c r="T353" s="4" t="n">
        <v>-1</v>
      </c>
      <c r="U353" s="4" t="n">
        <v>-1</v>
      </c>
      <c r="V353" s="4" t="s">
        <v>1143</v>
      </c>
      <c r="W353" s="4" t="s">
        <v>46</v>
      </c>
      <c r="X353" s="4" t="s">
        <v>46</v>
      </c>
      <c r="Y353" s="4" t="s">
        <v>46</v>
      </c>
      <c r="Z353" s="4" t="s">
        <v>102</v>
      </c>
      <c r="AA353" s="4" t="s">
        <v>104</v>
      </c>
      <c r="AB353" s="4" t="s">
        <v>46</v>
      </c>
      <c r="AC353" s="4" t="s">
        <v>51</v>
      </c>
      <c r="AD353" s="4" t="s">
        <v>581</v>
      </c>
      <c r="AE353" s="4" t="s">
        <v>582</v>
      </c>
      <c r="AF353" s="4" t="s">
        <v>583</v>
      </c>
      <c r="AG353" s="4" t="s">
        <v>46</v>
      </c>
      <c r="AH353" s="4" t="s">
        <v>46</v>
      </c>
      <c r="AI353" s="4" t="s">
        <v>46</v>
      </c>
      <c r="AJ353" s="4" t="s">
        <v>46</v>
      </c>
      <c r="AK353" s="4" t="s">
        <v>46</v>
      </c>
      <c r="AL353" s="4" t="s">
        <v>609</v>
      </c>
    </row>
    <row r="354" customFormat="false" ht="15" hidden="false" customHeight="false" outlineLevel="0" collapsed="false">
      <c r="A354" s="3"/>
      <c r="B354" s="3" t="str">
        <f aca="false">HYPERLINK("https://genome.ucsc.edu/cgi-bin/hgTracks?db=hg19&amp;position=chr18%3A6993706%2D6993706", "chr18:6993706")</f>
        <v>chr18:6993706</v>
      </c>
      <c r="C354" s="3" t="s">
        <v>1321</v>
      </c>
      <c r="D354" s="3" t="n">
        <v>6993706</v>
      </c>
      <c r="E354" s="3" t="n">
        <v>6993706</v>
      </c>
      <c r="F354" s="3" t="s">
        <v>39</v>
      </c>
      <c r="G354" s="3" t="s">
        <v>57</v>
      </c>
      <c r="H354" s="3" t="s">
        <v>412</v>
      </c>
      <c r="I354" s="3" t="s">
        <v>311</v>
      </c>
      <c r="J354" s="3" t="s">
        <v>1141</v>
      </c>
      <c r="K354" s="3" t="s">
        <v>46</v>
      </c>
      <c r="L354" s="3" t="s">
        <v>46</v>
      </c>
      <c r="M354" s="3" t="str">
        <f aca="false">HYPERLINK("https://www.genecards.org/Search/Keyword?queryString=%5Baliases%5D(%20LAMA1%20)&amp;keywords=LAMA1", "LAMA1")</f>
        <v>LAMA1</v>
      </c>
      <c r="N354" s="3" t="s">
        <v>98</v>
      </c>
      <c r="O354" s="3" t="s">
        <v>371</v>
      </c>
      <c r="P354" s="3" t="s">
        <v>1996</v>
      </c>
      <c r="Q354" s="3" t="n">
        <v>-1</v>
      </c>
      <c r="R354" s="3" t="n">
        <v>-1</v>
      </c>
      <c r="S354" s="3" t="n">
        <v>-1</v>
      </c>
      <c r="T354" s="3" t="n">
        <v>-1</v>
      </c>
      <c r="U354" s="3" t="n">
        <v>-1</v>
      </c>
      <c r="V354" s="3" t="s">
        <v>373</v>
      </c>
      <c r="W354" s="3" t="s">
        <v>46</v>
      </c>
      <c r="X354" s="3" t="s">
        <v>46</v>
      </c>
      <c r="Y354" s="3" t="s">
        <v>46</v>
      </c>
      <c r="Z354" s="3" t="s">
        <v>138</v>
      </c>
      <c r="AA354" s="3" t="s">
        <v>104</v>
      </c>
      <c r="AB354" s="3" t="s">
        <v>46</v>
      </c>
      <c r="AC354" s="3" t="s">
        <v>51</v>
      </c>
      <c r="AD354" s="3" t="s">
        <v>856</v>
      </c>
      <c r="AE354" s="3" t="s">
        <v>1326</v>
      </c>
      <c r="AF354" s="3" t="s">
        <v>1327</v>
      </c>
      <c r="AG354" s="3" t="s">
        <v>1328</v>
      </c>
      <c r="AH354" s="3" t="s">
        <v>1329</v>
      </c>
      <c r="AI354" s="3" t="s">
        <v>46</v>
      </c>
      <c r="AJ354" s="3" t="s">
        <v>46</v>
      </c>
      <c r="AK354" s="3" t="s">
        <v>46</v>
      </c>
      <c r="AL354" s="3" t="s">
        <v>46</v>
      </c>
    </row>
    <row r="355" customFormat="false" ht="15" hidden="false" customHeight="false" outlineLevel="0" collapsed="false">
      <c r="B355" s="0" t="str">
        <f aca="false">HYPERLINK("https://genome.ucsc.edu/cgi-bin/hgTracks?db=hg19&amp;position=chr7%3A84666206%2D84666206", "chr7:84666206")</f>
        <v>chr7:84666206</v>
      </c>
      <c r="C355" s="0" t="s">
        <v>253</v>
      </c>
      <c r="D355" s="0" t="n">
        <v>84666206</v>
      </c>
      <c r="E355" s="0" t="n">
        <v>84666206</v>
      </c>
      <c r="F355" s="0" t="s">
        <v>69</v>
      </c>
      <c r="G355" s="0" t="s">
        <v>57</v>
      </c>
      <c r="H355" s="0" t="s">
        <v>1997</v>
      </c>
      <c r="I355" s="0" t="s">
        <v>111</v>
      </c>
      <c r="J355" s="0" t="s">
        <v>907</v>
      </c>
      <c r="K355" s="0" t="s">
        <v>46</v>
      </c>
      <c r="L355" s="0" t="s">
        <v>46</v>
      </c>
      <c r="M355" s="0" t="str">
        <f aca="false">HYPERLINK("https://www.genecards.org/Search/Keyword?queryString=%5Baliases%5D(%20SEMA3D%20)&amp;keywords=SEMA3D", "SEMA3D")</f>
        <v>SEMA3D</v>
      </c>
      <c r="N355" s="0" t="s">
        <v>98</v>
      </c>
      <c r="O355" s="0" t="s">
        <v>99</v>
      </c>
      <c r="P355" s="0" t="s">
        <v>1998</v>
      </c>
      <c r="Q355" s="0" t="n">
        <v>-1</v>
      </c>
      <c r="R355" s="0" t="n">
        <v>-1</v>
      </c>
      <c r="S355" s="0" t="n">
        <v>-1</v>
      </c>
      <c r="T355" s="0" t="n">
        <v>-1</v>
      </c>
      <c r="U355" s="0" t="n">
        <v>-1</v>
      </c>
      <c r="V355" s="0" t="s">
        <v>596</v>
      </c>
      <c r="W355" s="0" t="s">
        <v>999</v>
      </c>
      <c r="X355" s="0" t="s">
        <v>46</v>
      </c>
      <c r="Y355" s="0" t="s">
        <v>46</v>
      </c>
      <c r="Z355" s="0" t="s">
        <v>102</v>
      </c>
      <c r="AA355" s="0" t="s">
        <v>103</v>
      </c>
      <c r="AB355" s="0" t="s">
        <v>46</v>
      </c>
      <c r="AC355" s="0" t="s">
        <v>51</v>
      </c>
      <c r="AD355" s="0" t="s">
        <v>52</v>
      </c>
      <c r="AE355" s="0" t="s">
        <v>1999</v>
      </c>
      <c r="AF355" s="0" t="s">
        <v>2000</v>
      </c>
      <c r="AG355" s="0" t="s">
        <v>2001</v>
      </c>
      <c r="AH355" s="0" t="s">
        <v>46</v>
      </c>
      <c r="AI355" s="0" t="s">
        <v>46</v>
      </c>
      <c r="AJ355" s="0" t="s">
        <v>46</v>
      </c>
      <c r="AK355" s="0" t="s">
        <v>46</v>
      </c>
      <c r="AL355" s="0" t="s">
        <v>46</v>
      </c>
    </row>
    <row r="356" customFormat="false" ht="15" hidden="false" customHeight="false" outlineLevel="0" collapsed="false">
      <c r="B356" s="0" t="str">
        <f aca="false">HYPERLINK("https://genome.ucsc.edu/cgi-bin/hgTracks?db=hg19&amp;position=chr4%3A5624349%2D5624349", "chr4:5624349")</f>
        <v>chr4:5624349</v>
      </c>
      <c r="C356" s="0" t="s">
        <v>245</v>
      </c>
      <c r="D356" s="0" t="n">
        <v>5624349</v>
      </c>
      <c r="E356" s="0" t="n">
        <v>5624349</v>
      </c>
      <c r="F356" s="0" t="s">
        <v>39</v>
      </c>
      <c r="G356" s="0" t="s">
        <v>40</v>
      </c>
      <c r="H356" s="0" t="s">
        <v>2002</v>
      </c>
      <c r="I356" s="0" t="s">
        <v>571</v>
      </c>
      <c r="J356" s="0" t="s">
        <v>2003</v>
      </c>
      <c r="K356" s="0" t="s">
        <v>46</v>
      </c>
      <c r="L356" s="0" t="str">
        <f aca="false">HYPERLINK("https://www.ncbi.nlm.nih.gov/snp/rs138128087", "rs138128087")</f>
        <v>rs138128087</v>
      </c>
      <c r="M356" s="0" t="str">
        <f aca="false">HYPERLINK("https://www.genecards.org/Search/Keyword?queryString=%5Baliases%5D(%20EVC2%20)&amp;keywords=EVC2", "EVC2")</f>
        <v>EVC2</v>
      </c>
      <c r="N356" s="0" t="s">
        <v>98</v>
      </c>
      <c r="O356" s="0" t="s">
        <v>99</v>
      </c>
      <c r="P356" s="0" t="s">
        <v>2004</v>
      </c>
      <c r="Q356" s="0" t="n">
        <v>0.0016</v>
      </c>
      <c r="R356" s="0" t="n">
        <v>0.0018</v>
      </c>
      <c r="S356" s="0" t="n">
        <v>0.0018</v>
      </c>
      <c r="T356" s="0" t="n">
        <v>-1</v>
      </c>
      <c r="U356" s="0" t="n">
        <v>0.0033</v>
      </c>
      <c r="V356" s="0" t="s">
        <v>170</v>
      </c>
      <c r="W356" s="0" t="s">
        <v>46</v>
      </c>
      <c r="X356" s="0" t="s">
        <v>46</v>
      </c>
      <c r="Y356" s="0" t="s">
        <v>46</v>
      </c>
      <c r="Z356" s="0" t="s">
        <v>49</v>
      </c>
      <c r="AA356" s="0" t="s">
        <v>127</v>
      </c>
      <c r="AB356" s="0" t="s">
        <v>216</v>
      </c>
      <c r="AC356" s="0" t="s">
        <v>51</v>
      </c>
      <c r="AD356" s="0" t="s">
        <v>52</v>
      </c>
      <c r="AE356" s="0" t="s">
        <v>2005</v>
      </c>
      <c r="AF356" s="0" t="s">
        <v>2006</v>
      </c>
      <c r="AG356" s="0" t="s">
        <v>2007</v>
      </c>
      <c r="AH356" s="0" t="s">
        <v>2008</v>
      </c>
      <c r="AI356" s="0" t="s">
        <v>46</v>
      </c>
      <c r="AJ356" s="0" t="s">
        <v>46</v>
      </c>
      <c r="AK356" s="0" t="s">
        <v>46</v>
      </c>
      <c r="AL356" s="0" t="s">
        <v>46</v>
      </c>
    </row>
    <row r="357" customFormat="false" ht="15" hidden="false" customHeight="false" outlineLevel="0" collapsed="false">
      <c r="B357" s="0" t="str">
        <f aca="false">HYPERLINK("https://genome.ucsc.edu/cgi-bin/hgTracks?db=hg19&amp;position=chr1%3A57409459%2D57409459", "chr1:57409459")</f>
        <v>chr1:57409459</v>
      </c>
      <c r="C357" s="0" t="s">
        <v>56</v>
      </c>
      <c r="D357" s="0" t="n">
        <v>57409459</v>
      </c>
      <c r="E357" s="0" t="n">
        <v>57409459</v>
      </c>
      <c r="F357" s="0" t="s">
        <v>39</v>
      </c>
      <c r="G357" s="0" t="s">
        <v>57</v>
      </c>
      <c r="H357" s="0" t="s">
        <v>2009</v>
      </c>
      <c r="I357" s="0" t="s">
        <v>311</v>
      </c>
      <c r="J357" s="0" t="s">
        <v>2010</v>
      </c>
      <c r="K357" s="0" t="s">
        <v>46</v>
      </c>
      <c r="L357" s="0" t="str">
        <f aca="false">HYPERLINK("https://www.ncbi.nlm.nih.gov/snp/rs139498867", "rs139498867")</f>
        <v>rs139498867</v>
      </c>
      <c r="M357" s="0" t="str">
        <f aca="false">HYPERLINK("https://www.genecards.org/Search/Keyword?queryString=%5Baliases%5D(%20C8B%20)&amp;keywords=C8B", "C8B")</f>
        <v>C8B</v>
      </c>
      <c r="N357" s="0" t="s">
        <v>98</v>
      </c>
      <c r="O357" s="0" t="s">
        <v>99</v>
      </c>
      <c r="P357" s="0" t="s">
        <v>2011</v>
      </c>
      <c r="Q357" s="0" t="n">
        <v>0.0103</v>
      </c>
      <c r="R357" s="0" t="n">
        <v>0.0044</v>
      </c>
      <c r="S357" s="0" t="n">
        <v>0.0055</v>
      </c>
      <c r="T357" s="0" t="n">
        <v>-1</v>
      </c>
      <c r="U357" s="0" t="n">
        <v>0.0025</v>
      </c>
      <c r="V357" s="0" t="s">
        <v>230</v>
      </c>
      <c r="W357" s="0" t="s">
        <v>46</v>
      </c>
      <c r="X357" s="0" t="s">
        <v>46</v>
      </c>
      <c r="Y357" s="0" t="s">
        <v>46</v>
      </c>
      <c r="Z357" s="0" t="s">
        <v>49</v>
      </c>
      <c r="AA357" s="0" t="s">
        <v>127</v>
      </c>
      <c r="AB357" s="0" t="s">
        <v>266</v>
      </c>
      <c r="AC357" s="0" t="s">
        <v>51</v>
      </c>
      <c r="AD357" s="0" t="s">
        <v>52</v>
      </c>
      <c r="AE357" s="0" t="s">
        <v>2012</v>
      </c>
      <c r="AF357" s="0" t="s">
        <v>2013</v>
      </c>
      <c r="AG357" s="0" t="s">
        <v>2014</v>
      </c>
      <c r="AH357" s="0" t="s">
        <v>2015</v>
      </c>
      <c r="AI357" s="0" t="s">
        <v>46</v>
      </c>
      <c r="AJ357" s="0" t="s">
        <v>46</v>
      </c>
      <c r="AK357" s="0" t="s">
        <v>46</v>
      </c>
      <c r="AL357" s="0" t="s">
        <v>46</v>
      </c>
    </row>
    <row r="358" customFormat="false" ht="15" hidden="false" customHeight="false" outlineLevel="0" collapsed="false">
      <c r="B358" s="0" t="str">
        <f aca="false">HYPERLINK("https://genome.ucsc.edu/cgi-bin/hgTracks?db=hg19&amp;position=chr10%3A95400694%2D95400694", "chr10:95400694")</f>
        <v>chr10:95400694</v>
      </c>
      <c r="C358" s="0" t="s">
        <v>199</v>
      </c>
      <c r="D358" s="0" t="n">
        <v>95400694</v>
      </c>
      <c r="E358" s="0" t="n">
        <v>95400694</v>
      </c>
      <c r="F358" s="0" t="s">
        <v>69</v>
      </c>
      <c r="G358" s="0" t="s">
        <v>40</v>
      </c>
      <c r="H358" s="0" t="s">
        <v>2016</v>
      </c>
      <c r="I358" s="0" t="s">
        <v>1494</v>
      </c>
      <c r="J358" s="0" t="s">
        <v>2017</v>
      </c>
      <c r="K358" s="0" t="s">
        <v>46</v>
      </c>
      <c r="L358" s="0" t="str">
        <f aca="false">HYPERLINK("https://www.ncbi.nlm.nih.gov/snp/rs45522236", "rs45522236")</f>
        <v>rs45522236</v>
      </c>
      <c r="M358" s="0" t="str">
        <f aca="false">HYPERLINK("https://www.genecards.org/Search/Keyword?queryString=%5Baliases%5D(%20PDE6C%20)&amp;keywords=PDE6C", "PDE6C")</f>
        <v>PDE6C</v>
      </c>
      <c r="N358" s="0" t="s">
        <v>98</v>
      </c>
      <c r="O358" s="0" t="s">
        <v>99</v>
      </c>
      <c r="P358" s="0" t="s">
        <v>2018</v>
      </c>
      <c r="Q358" s="0" t="n">
        <v>0.0172</v>
      </c>
      <c r="R358" s="0" t="n">
        <v>0.0202</v>
      </c>
      <c r="S358" s="0" t="n">
        <v>0.0165</v>
      </c>
      <c r="T358" s="0" t="n">
        <v>-1</v>
      </c>
      <c r="U358" s="0" t="n">
        <v>0.0304</v>
      </c>
      <c r="V358" s="0" t="s">
        <v>314</v>
      </c>
      <c r="W358" s="0" t="s">
        <v>46</v>
      </c>
      <c r="X358" s="0" t="s">
        <v>46</v>
      </c>
      <c r="Y358" s="0" t="s">
        <v>46</v>
      </c>
      <c r="Z358" s="0" t="s">
        <v>138</v>
      </c>
      <c r="AA358" s="0" t="s">
        <v>127</v>
      </c>
      <c r="AB358" s="0" t="s">
        <v>50</v>
      </c>
      <c r="AC358" s="0" t="s">
        <v>51</v>
      </c>
      <c r="AD358" s="0" t="s">
        <v>52</v>
      </c>
      <c r="AE358" s="0" t="s">
        <v>2019</v>
      </c>
      <c r="AF358" s="0" t="s">
        <v>2020</v>
      </c>
      <c r="AG358" s="0" t="s">
        <v>46</v>
      </c>
      <c r="AH358" s="0" t="s">
        <v>2021</v>
      </c>
      <c r="AI358" s="0" t="s">
        <v>46</v>
      </c>
      <c r="AJ358" s="0" t="s">
        <v>46</v>
      </c>
      <c r="AK358" s="0" t="s">
        <v>46</v>
      </c>
      <c r="AL358" s="0" t="s">
        <v>46</v>
      </c>
    </row>
    <row r="359" customFormat="false" ht="15" hidden="false" customHeight="false" outlineLevel="0" collapsed="false">
      <c r="B359" s="0" t="str">
        <f aca="false">HYPERLINK("https://genome.ucsc.edu/cgi-bin/hgTracks?db=hg19&amp;position=chr19%3A41117300%2D41117300", "chr19:41117300")</f>
        <v>chr19:41117300</v>
      </c>
      <c r="C359" s="0" t="s">
        <v>1348</v>
      </c>
      <c r="D359" s="0" t="n">
        <v>41117300</v>
      </c>
      <c r="E359" s="0" t="n">
        <v>41117300</v>
      </c>
      <c r="F359" s="0" t="s">
        <v>69</v>
      </c>
      <c r="G359" s="0" t="s">
        <v>57</v>
      </c>
      <c r="H359" s="0" t="s">
        <v>2022</v>
      </c>
      <c r="I359" s="0" t="s">
        <v>1323</v>
      </c>
      <c r="J359" s="0" t="s">
        <v>2023</v>
      </c>
      <c r="K359" s="0" t="s">
        <v>46</v>
      </c>
      <c r="L359" s="0" t="str">
        <f aca="false">HYPERLINK("https://www.ncbi.nlm.nih.gov/snp/rs34093919", "rs34093919")</f>
        <v>rs34093919</v>
      </c>
      <c r="M359" s="0" t="str">
        <f aca="false">HYPERLINK("https://www.genecards.org/Search/Keyword?queryString=%5Baliases%5D(%20LTBP4%20)&amp;keywords=LTBP4", "LTBP4")</f>
        <v>LTBP4</v>
      </c>
      <c r="N359" s="0" t="s">
        <v>98</v>
      </c>
      <c r="O359" s="0" t="s">
        <v>1318</v>
      </c>
      <c r="P359" s="0" t="s">
        <v>2024</v>
      </c>
      <c r="Q359" s="0" t="n">
        <v>0.0236</v>
      </c>
      <c r="R359" s="0" t="n">
        <v>0.0112</v>
      </c>
      <c r="S359" s="0" t="n">
        <v>0.011</v>
      </c>
      <c r="T359" s="0" t="n">
        <v>-1</v>
      </c>
      <c r="U359" s="0" t="n">
        <v>0.0122</v>
      </c>
      <c r="V359" s="0" t="s">
        <v>323</v>
      </c>
      <c r="W359" s="0" t="s">
        <v>46</v>
      </c>
      <c r="X359" s="0" t="s">
        <v>46</v>
      </c>
      <c r="Y359" s="0" t="s">
        <v>46</v>
      </c>
      <c r="Z359" s="0" t="s">
        <v>159</v>
      </c>
      <c r="AA359" s="0" t="s">
        <v>127</v>
      </c>
      <c r="AB359" s="0" t="s">
        <v>50</v>
      </c>
      <c r="AC359" s="0" t="s">
        <v>51</v>
      </c>
      <c r="AD359" s="0" t="s">
        <v>52</v>
      </c>
      <c r="AE359" s="0" t="s">
        <v>2025</v>
      </c>
      <c r="AF359" s="0" t="s">
        <v>2026</v>
      </c>
      <c r="AG359" s="0" t="s">
        <v>2027</v>
      </c>
      <c r="AH359" s="0" t="s">
        <v>2028</v>
      </c>
      <c r="AI359" s="0" t="s">
        <v>46</v>
      </c>
      <c r="AJ359" s="0" t="s">
        <v>46</v>
      </c>
      <c r="AK359" s="0" t="s">
        <v>46</v>
      </c>
      <c r="AL359" s="0" t="s">
        <v>46</v>
      </c>
    </row>
    <row r="360" customFormat="false" ht="15" hidden="false" customHeight="false" outlineLevel="0" collapsed="false">
      <c r="B360" s="0" t="str">
        <f aca="false">HYPERLINK("https://genome.ucsc.edu/cgi-bin/hgTracks?db=hg19&amp;position=chr5%3A127666298%2D127666298", "chr5:127666298")</f>
        <v>chr5:127666298</v>
      </c>
      <c r="C360" s="0" t="s">
        <v>109</v>
      </c>
      <c r="D360" s="0" t="n">
        <v>127666298</v>
      </c>
      <c r="E360" s="0" t="n">
        <v>127666298</v>
      </c>
      <c r="F360" s="0" t="s">
        <v>39</v>
      </c>
      <c r="G360" s="0" t="s">
        <v>40</v>
      </c>
      <c r="H360" s="0" t="s">
        <v>310</v>
      </c>
      <c r="I360" s="0" t="s">
        <v>1090</v>
      </c>
      <c r="J360" s="0" t="s">
        <v>2029</v>
      </c>
      <c r="K360" s="0" t="s">
        <v>46</v>
      </c>
      <c r="L360" s="0" t="str">
        <f aca="false">HYPERLINK("https://www.ncbi.nlm.nih.gov/snp/rs56168072", "rs56168072")</f>
        <v>rs56168072</v>
      </c>
      <c r="M360" s="0" t="str">
        <f aca="false">HYPERLINK("https://www.genecards.org/Search/Keyword?queryString=%5Baliases%5D(%20FBN2%20)&amp;keywords=FBN2", "FBN2")</f>
        <v>FBN2</v>
      </c>
      <c r="N360" s="0" t="s">
        <v>98</v>
      </c>
      <c r="O360" s="0" t="s">
        <v>99</v>
      </c>
      <c r="P360" s="0" t="s">
        <v>2030</v>
      </c>
      <c r="Q360" s="0" t="n">
        <v>0.02439</v>
      </c>
      <c r="R360" s="0" t="n">
        <v>0.011</v>
      </c>
      <c r="S360" s="0" t="n">
        <v>0.0113</v>
      </c>
      <c r="T360" s="0" t="n">
        <v>-1</v>
      </c>
      <c r="U360" s="0" t="n">
        <v>0.0122</v>
      </c>
      <c r="V360" s="0" t="s">
        <v>314</v>
      </c>
      <c r="W360" s="0" t="s">
        <v>46</v>
      </c>
      <c r="X360" s="0" t="s">
        <v>46</v>
      </c>
      <c r="Y360" s="0" t="s">
        <v>46</v>
      </c>
      <c r="Z360" s="0" t="s">
        <v>231</v>
      </c>
      <c r="AA360" s="0" t="s">
        <v>127</v>
      </c>
      <c r="AB360" s="0" t="s">
        <v>50</v>
      </c>
      <c r="AC360" s="0" t="s">
        <v>51</v>
      </c>
      <c r="AD360" s="0" t="s">
        <v>52</v>
      </c>
      <c r="AE360" s="0" t="s">
        <v>2031</v>
      </c>
      <c r="AF360" s="0" t="s">
        <v>2032</v>
      </c>
      <c r="AG360" s="0" t="s">
        <v>2033</v>
      </c>
      <c r="AH360" s="0" t="s">
        <v>2034</v>
      </c>
      <c r="AI360" s="0" t="s">
        <v>46</v>
      </c>
      <c r="AJ360" s="0" t="s">
        <v>46</v>
      </c>
      <c r="AK360" s="0" t="s">
        <v>46</v>
      </c>
      <c r="AL360" s="0" t="s">
        <v>46</v>
      </c>
    </row>
    <row r="361" customFormat="false" ht="15" hidden="false" customHeight="false" outlineLevel="0" collapsed="false">
      <c r="B361" s="0" t="str">
        <f aca="false">HYPERLINK("https://genome.ucsc.edu/cgi-bin/hgTracks?db=hg19&amp;position=chr6%3A31083945%2D31083945", "chr6:31083945")</f>
        <v>chr6:31083945</v>
      </c>
      <c r="C361" s="0" t="s">
        <v>164</v>
      </c>
      <c r="D361" s="0" t="n">
        <v>31083945</v>
      </c>
      <c r="E361" s="0" t="n">
        <v>31083945</v>
      </c>
      <c r="F361" s="0" t="s">
        <v>39</v>
      </c>
      <c r="G361" s="0" t="s">
        <v>40</v>
      </c>
      <c r="H361" s="0" t="s">
        <v>1194</v>
      </c>
      <c r="I361" s="0" t="s">
        <v>1622</v>
      </c>
      <c r="J361" s="0" t="s">
        <v>2035</v>
      </c>
      <c r="K361" s="0" t="s">
        <v>46</v>
      </c>
      <c r="L361" s="0" t="str">
        <f aca="false">HYPERLINK("https://www.ncbi.nlm.nih.gov/snp/rs145583110", "rs145583110")</f>
        <v>rs145583110</v>
      </c>
      <c r="M361" s="0" t="str">
        <f aca="false">HYPERLINK("https://www.genecards.org/Search/Keyword?queryString=%5Baliases%5D(%20CDSN%20)&amp;keywords=CDSN", "CDSN")</f>
        <v>CDSN</v>
      </c>
      <c r="N361" s="0" t="s">
        <v>98</v>
      </c>
      <c r="O361" s="0" t="s">
        <v>99</v>
      </c>
      <c r="P361" s="0" t="s">
        <v>2036</v>
      </c>
      <c r="Q361" s="0" t="n">
        <v>0.025253</v>
      </c>
      <c r="R361" s="0" t="n">
        <v>0.0102</v>
      </c>
      <c r="S361" s="0" t="n">
        <v>0.0104</v>
      </c>
      <c r="T361" s="0" t="n">
        <v>-1</v>
      </c>
      <c r="U361" s="0" t="n">
        <v>0.0105</v>
      </c>
      <c r="V361" s="0" t="s">
        <v>126</v>
      </c>
      <c r="W361" s="0" t="s">
        <v>46</v>
      </c>
      <c r="X361" s="0" t="s">
        <v>46</v>
      </c>
      <c r="Y361" s="0" t="s">
        <v>46</v>
      </c>
      <c r="Z361" s="0" t="s">
        <v>49</v>
      </c>
      <c r="AA361" s="0" t="s">
        <v>127</v>
      </c>
      <c r="AB361" s="0" t="s">
        <v>50</v>
      </c>
      <c r="AC361" s="0" t="s">
        <v>51</v>
      </c>
      <c r="AD361" s="0" t="s">
        <v>52</v>
      </c>
      <c r="AE361" s="0" t="s">
        <v>2037</v>
      </c>
      <c r="AF361" s="0" t="s">
        <v>2038</v>
      </c>
      <c r="AG361" s="0" t="s">
        <v>2039</v>
      </c>
      <c r="AH361" s="0" t="s">
        <v>2040</v>
      </c>
      <c r="AI361" s="0" t="s">
        <v>46</v>
      </c>
      <c r="AJ361" s="0" t="s">
        <v>46</v>
      </c>
      <c r="AK361" s="0" t="s">
        <v>175</v>
      </c>
      <c r="AL361" s="0" t="s">
        <v>46</v>
      </c>
    </row>
    <row r="362" customFormat="false" ht="15" hidden="false" customHeight="false" outlineLevel="0" collapsed="false">
      <c r="B362" s="0" t="str">
        <f aca="false">HYPERLINK("https://genome.ucsc.edu/cgi-bin/hgTracks?db=hg19&amp;position=chr9%3A131094512%2D131094512", "chr9:131094512")</f>
        <v>chr9:131094512</v>
      </c>
      <c r="C362" s="0" t="s">
        <v>142</v>
      </c>
      <c r="D362" s="0" t="n">
        <v>131094512</v>
      </c>
      <c r="E362" s="0" t="n">
        <v>131094512</v>
      </c>
      <c r="F362" s="0" t="s">
        <v>69</v>
      </c>
      <c r="G362" s="0" t="s">
        <v>39</v>
      </c>
      <c r="H362" s="0" t="s">
        <v>211</v>
      </c>
      <c r="I362" s="0" t="s">
        <v>237</v>
      </c>
      <c r="J362" s="0" t="s">
        <v>238</v>
      </c>
      <c r="K362" s="0" t="s">
        <v>46</v>
      </c>
      <c r="L362" s="0" t="str">
        <f aca="false">HYPERLINK("https://www.ncbi.nlm.nih.gov/snp/rs141228574", "rs141228574")</f>
        <v>rs141228574</v>
      </c>
      <c r="M362" s="0" t="str">
        <f aca="false">HYPERLINK("https://www.genecards.org/Search/Keyword?queryString=%5Baliases%5D(%20COQ4%20)&amp;keywords=COQ4", "COQ4")</f>
        <v>COQ4</v>
      </c>
      <c r="N362" s="0" t="s">
        <v>98</v>
      </c>
      <c r="O362" s="0" t="s">
        <v>99</v>
      </c>
      <c r="P362" s="0" t="s">
        <v>2041</v>
      </c>
      <c r="Q362" s="0" t="n">
        <v>0.0109</v>
      </c>
      <c r="R362" s="0" t="n">
        <v>0.0062</v>
      </c>
      <c r="S362" s="0" t="n">
        <v>0.0072</v>
      </c>
      <c r="T362" s="0" t="n">
        <v>-1</v>
      </c>
      <c r="U362" s="0" t="n">
        <v>0.0041</v>
      </c>
      <c r="V362" s="0" t="s">
        <v>323</v>
      </c>
      <c r="W362" s="0" t="s">
        <v>46</v>
      </c>
      <c r="X362" s="0" t="s">
        <v>46</v>
      </c>
      <c r="Y362" s="0" t="s">
        <v>46</v>
      </c>
      <c r="Z362" s="0" t="s">
        <v>159</v>
      </c>
      <c r="AA362" s="0" t="s">
        <v>127</v>
      </c>
      <c r="AB362" s="0" t="s">
        <v>50</v>
      </c>
      <c r="AC362" s="0" t="s">
        <v>51</v>
      </c>
      <c r="AD362" s="0" t="s">
        <v>52</v>
      </c>
      <c r="AE362" s="0" t="s">
        <v>2042</v>
      </c>
      <c r="AF362" s="0" t="s">
        <v>2043</v>
      </c>
      <c r="AG362" s="0" t="s">
        <v>2044</v>
      </c>
      <c r="AH362" s="0" t="s">
        <v>46</v>
      </c>
      <c r="AI362" s="0" t="s">
        <v>46</v>
      </c>
      <c r="AJ362" s="0" t="s">
        <v>46</v>
      </c>
      <c r="AK362" s="0" t="s">
        <v>46</v>
      </c>
      <c r="AL362" s="0" t="s">
        <v>46</v>
      </c>
    </row>
    <row r="363" customFormat="false" ht="15" hidden="false" customHeight="false" outlineLevel="0" collapsed="false">
      <c r="B363" s="0" t="str">
        <f aca="false">HYPERLINK("https://genome.ucsc.edu/cgi-bin/hgTracks?db=hg19&amp;position=chr20%3A43653713%2D43653713", "chr20:43653713")</f>
        <v>chr20:43653713</v>
      </c>
      <c r="C363" s="0" t="s">
        <v>188</v>
      </c>
      <c r="D363" s="0" t="n">
        <v>43653713</v>
      </c>
      <c r="E363" s="0" t="n">
        <v>43653713</v>
      </c>
      <c r="F363" s="0" t="s">
        <v>39</v>
      </c>
      <c r="G363" s="0" t="s">
        <v>40</v>
      </c>
      <c r="H363" s="0" t="s">
        <v>610</v>
      </c>
      <c r="I363" s="0" t="s">
        <v>581</v>
      </c>
      <c r="J363" s="0" t="s">
        <v>2045</v>
      </c>
      <c r="K363" s="0" t="s">
        <v>46</v>
      </c>
      <c r="L363" s="0" t="str">
        <f aca="false">HYPERLINK("https://www.ncbi.nlm.nih.gov/snp/rs33963346", "rs33963346")</f>
        <v>rs33963346</v>
      </c>
      <c r="M363" s="0" t="str">
        <f aca="false">HYPERLINK("https://www.genecards.org/Search/Keyword?queryString=%5Baliases%5D(%20STK4%20)&amp;keywords=STK4", "STK4")</f>
        <v>STK4</v>
      </c>
      <c r="N363" s="0" t="s">
        <v>98</v>
      </c>
      <c r="O363" s="0" t="s">
        <v>99</v>
      </c>
      <c r="P363" s="0" t="s">
        <v>2046</v>
      </c>
      <c r="Q363" s="0" t="n">
        <v>0.0179</v>
      </c>
      <c r="R363" s="0" t="n">
        <v>0.0107</v>
      </c>
      <c r="S363" s="0" t="n">
        <v>0.0108</v>
      </c>
      <c r="T363" s="0" t="n">
        <v>-1</v>
      </c>
      <c r="U363" s="0" t="n">
        <v>0.0087</v>
      </c>
      <c r="V363" s="0" t="s">
        <v>158</v>
      </c>
      <c r="W363" s="0" t="s">
        <v>46</v>
      </c>
      <c r="X363" s="0" t="s">
        <v>46</v>
      </c>
      <c r="Y363" s="0" t="s">
        <v>46</v>
      </c>
      <c r="Z363" s="0" t="s">
        <v>231</v>
      </c>
      <c r="AA363" s="0" t="s">
        <v>127</v>
      </c>
      <c r="AB363" s="0" t="s">
        <v>115</v>
      </c>
      <c r="AC363" s="0" t="s">
        <v>51</v>
      </c>
      <c r="AD363" s="0" t="s">
        <v>52</v>
      </c>
      <c r="AE363" s="0" t="s">
        <v>2047</v>
      </c>
      <c r="AF363" s="0" t="s">
        <v>2048</v>
      </c>
      <c r="AG363" s="0" t="s">
        <v>2049</v>
      </c>
      <c r="AH363" s="0" t="s">
        <v>2050</v>
      </c>
      <c r="AI363" s="0" t="s">
        <v>46</v>
      </c>
      <c r="AJ363" s="0" t="s">
        <v>46</v>
      </c>
      <c r="AK363" s="0" t="s">
        <v>46</v>
      </c>
      <c r="AL363" s="0" t="s">
        <v>46</v>
      </c>
    </row>
    <row r="364" customFormat="false" ht="15" hidden="false" customHeight="false" outlineLevel="0" collapsed="false">
      <c r="B364" s="0" t="str">
        <f aca="false">HYPERLINK("https://genome.ucsc.edu/cgi-bin/hgTracks?db=hg19&amp;position=chr7%3A43830880%2D43830880", "chr7:43830880")</f>
        <v>chr7:43830880</v>
      </c>
      <c r="C364" s="0" t="s">
        <v>253</v>
      </c>
      <c r="D364" s="0" t="n">
        <v>43830880</v>
      </c>
      <c r="E364" s="0" t="n">
        <v>43830880</v>
      </c>
      <c r="F364" s="0" t="s">
        <v>57</v>
      </c>
      <c r="G364" s="0" t="s">
        <v>69</v>
      </c>
      <c r="H364" s="0" t="s">
        <v>2051</v>
      </c>
      <c r="I364" s="0" t="s">
        <v>1226</v>
      </c>
      <c r="J364" s="0" t="s">
        <v>2052</v>
      </c>
      <c r="K364" s="0" t="s">
        <v>46</v>
      </c>
      <c r="L364" s="0" t="str">
        <f aca="false">HYPERLINK("https://www.ncbi.nlm.nih.gov/snp/rs1050916", "rs1050916")</f>
        <v>rs1050916</v>
      </c>
      <c r="M364" s="0" t="str">
        <f aca="false">HYPERLINK("https://www.genecards.org/Search/Keyword?queryString=%5Baliases%5D(%20BLVRA%20)&amp;keywords=BLVRA", "BLVRA")</f>
        <v>BLVRA</v>
      </c>
      <c r="N364" s="0" t="s">
        <v>98</v>
      </c>
      <c r="O364" s="0" t="s">
        <v>99</v>
      </c>
      <c r="P364" s="0" t="s">
        <v>2053</v>
      </c>
      <c r="Q364" s="0" t="n">
        <v>0.019</v>
      </c>
      <c r="R364" s="0" t="n">
        <v>0.0165</v>
      </c>
      <c r="S364" s="0" t="n">
        <v>0.0155</v>
      </c>
      <c r="T364" s="0" t="n">
        <v>-1</v>
      </c>
      <c r="U364" s="0" t="n">
        <v>0.0207</v>
      </c>
      <c r="V364" s="0" t="s">
        <v>314</v>
      </c>
      <c r="W364" s="0" t="s">
        <v>46</v>
      </c>
      <c r="X364" s="0" t="s">
        <v>46</v>
      </c>
      <c r="Y364" s="0" t="s">
        <v>46</v>
      </c>
      <c r="Z364" s="0" t="s">
        <v>138</v>
      </c>
      <c r="AA364" s="0" t="s">
        <v>127</v>
      </c>
      <c r="AB364" s="0" t="s">
        <v>115</v>
      </c>
      <c r="AC364" s="0" t="s">
        <v>51</v>
      </c>
      <c r="AD364" s="0" t="s">
        <v>52</v>
      </c>
      <c r="AE364" s="0" t="s">
        <v>2054</v>
      </c>
      <c r="AF364" s="0" t="s">
        <v>2055</v>
      </c>
      <c r="AG364" s="0" t="s">
        <v>2056</v>
      </c>
      <c r="AH364" s="0" t="s">
        <v>46</v>
      </c>
      <c r="AI364" s="0" t="s">
        <v>46</v>
      </c>
      <c r="AJ364" s="0" t="s">
        <v>46</v>
      </c>
      <c r="AK364" s="0" t="s">
        <v>46</v>
      </c>
      <c r="AL364" s="0" t="s">
        <v>46</v>
      </c>
    </row>
    <row r="365" customFormat="false" ht="15" hidden="false" customHeight="false" outlineLevel="0" collapsed="false">
      <c r="B365" s="0" t="str">
        <f aca="false">HYPERLINK("https://genome.ucsc.edu/cgi-bin/hgTracks?db=hg19&amp;position=chr1%3A12855766%2D12855766", "chr1:12855766")</f>
        <v>chr1:12855766</v>
      </c>
      <c r="C365" s="0" t="s">
        <v>56</v>
      </c>
      <c r="D365" s="0" t="n">
        <v>12855766</v>
      </c>
      <c r="E365" s="0" t="n">
        <v>12855766</v>
      </c>
      <c r="F365" s="0" t="s">
        <v>39</v>
      </c>
      <c r="G365" s="0" t="s">
        <v>40</v>
      </c>
      <c r="H365" s="0" t="s">
        <v>2057</v>
      </c>
      <c r="I365" s="0" t="s">
        <v>578</v>
      </c>
      <c r="J365" s="0" t="s">
        <v>2058</v>
      </c>
      <c r="K365" s="0" t="s">
        <v>46</v>
      </c>
      <c r="L365" s="0" t="str">
        <f aca="false">HYPERLINK("https://www.ncbi.nlm.nih.gov/snp/rs150001555", "rs150001555")</f>
        <v>rs150001555</v>
      </c>
      <c r="M365" s="0" t="str">
        <f aca="false">HYPERLINK("https://www.genecards.org/Search/Keyword?queryString=%5Baliases%5D(%20PRAMEF1%20)&amp;keywords=PRAMEF1", "PRAMEF1")</f>
        <v>PRAMEF1</v>
      </c>
      <c r="N365" s="0" t="s">
        <v>98</v>
      </c>
      <c r="O365" s="0" t="s">
        <v>1318</v>
      </c>
      <c r="P365" s="0" t="s">
        <v>2059</v>
      </c>
      <c r="Q365" s="0" t="n">
        <v>0.029412</v>
      </c>
      <c r="R365" s="0" t="n">
        <v>0.0169</v>
      </c>
      <c r="S365" s="0" t="n">
        <v>0.0171</v>
      </c>
      <c r="T365" s="0" t="n">
        <v>-1</v>
      </c>
      <c r="U365" s="0" t="n">
        <v>0.0173</v>
      </c>
      <c r="V365" s="0" t="s">
        <v>148</v>
      </c>
      <c r="W365" s="0" t="s">
        <v>46</v>
      </c>
      <c r="X365" s="0" t="s">
        <v>46</v>
      </c>
      <c r="Y365" s="0" t="s">
        <v>46</v>
      </c>
      <c r="Z365" s="0" t="s">
        <v>49</v>
      </c>
      <c r="AA365" s="0" t="s">
        <v>127</v>
      </c>
      <c r="AB365" s="0" t="s">
        <v>46</v>
      </c>
      <c r="AC365" s="0" t="s">
        <v>51</v>
      </c>
      <c r="AD365" s="0" t="s">
        <v>856</v>
      </c>
      <c r="AE365" s="0" t="s">
        <v>2060</v>
      </c>
      <c r="AF365" s="0" t="s">
        <v>2061</v>
      </c>
      <c r="AG365" s="0" t="s">
        <v>46</v>
      </c>
      <c r="AH365" s="0" t="s">
        <v>46</v>
      </c>
      <c r="AI365" s="0" t="s">
        <v>46</v>
      </c>
      <c r="AJ365" s="0" t="s">
        <v>46</v>
      </c>
      <c r="AK365" s="0" t="s">
        <v>46</v>
      </c>
      <c r="AL365" s="0" t="s">
        <v>584</v>
      </c>
    </row>
    <row r="366" customFormat="false" ht="15" hidden="false" customHeight="false" outlineLevel="0" collapsed="false">
      <c r="B366" s="0" t="str">
        <f aca="false">HYPERLINK("https://genome.ucsc.edu/cgi-bin/hgTracks?db=hg19&amp;position=chr1%3A12855954%2D12855954", "chr1:12855954")</f>
        <v>chr1:12855954</v>
      </c>
      <c r="C366" s="0" t="s">
        <v>56</v>
      </c>
      <c r="D366" s="0" t="n">
        <v>12855954</v>
      </c>
      <c r="E366" s="0" t="n">
        <v>12855954</v>
      </c>
      <c r="F366" s="0" t="s">
        <v>40</v>
      </c>
      <c r="G366" s="0" t="s">
        <v>39</v>
      </c>
      <c r="H366" s="0" t="s">
        <v>1207</v>
      </c>
      <c r="I366" s="0" t="s">
        <v>975</v>
      </c>
      <c r="J366" s="0" t="s">
        <v>2062</v>
      </c>
      <c r="K366" s="0" t="s">
        <v>46</v>
      </c>
      <c r="L366" s="0" t="str">
        <f aca="false">HYPERLINK("https://www.ncbi.nlm.nih.gov/snp/rs200506341", "rs200506341")</f>
        <v>rs200506341</v>
      </c>
      <c r="M366" s="0" t="str">
        <f aca="false">HYPERLINK("https://www.genecards.org/Search/Keyword?queryString=%5Baliases%5D(%20PRAMEF1%20)&amp;keywords=PRAMEF1", "PRAMEF1")</f>
        <v>PRAMEF1</v>
      </c>
      <c r="N366" s="0" t="s">
        <v>98</v>
      </c>
      <c r="O366" s="0" t="s">
        <v>1318</v>
      </c>
      <c r="P366" s="0" t="s">
        <v>2063</v>
      </c>
      <c r="Q366" s="0" t="n">
        <v>0.0195</v>
      </c>
      <c r="R366" s="0" t="n">
        <v>0.0194</v>
      </c>
      <c r="S366" s="0" t="n">
        <v>0.019</v>
      </c>
      <c r="T366" s="0" t="n">
        <v>-1</v>
      </c>
      <c r="U366" s="0" t="n">
        <v>0.0184</v>
      </c>
      <c r="V366" s="0" t="s">
        <v>148</v>
      </c>
      <c r="W366" s="0" t="s">
        <v>46</v>
      </c>
      <c r="X366" s="0" t="s">
        <v>46</v>
      </c>
      <c r="Y366" s="0" t="s">
        <v>46</v>
      </c>
      <c r="Z366" s="0" t="s">
        <v>49</v>
      </c>
      <c r="AA366" s="0" t="s">
        <v>127</v>
      </c>
      <c r="AB366" s="0" t="s">
        <v>46</v>
      </c>
      <c r="AC366" s="0" t="s">
        <v>51</v>
      </c>
      <c r="AD366" s="0" t="s">
        <v>856</v>
      </c>
      <c r="AE366" s="0" t="s">
        <v>2060</v>
      </c>
      <c r="AF366" s="0" t="s">
        <v>2061</v>
      </c>
      <c r="AG366" s="0" t="s">
        <v>46</v>
      </c>
      <c r="AH366" s="0" t="s">
        <v>46</v>
      </c>
      <c r="AI366" s="0" t="s">
        <v>46</v>
      </c>
      <c r="AJ366" s="0" t="s">
        <v>46</v>
      </c>
      <c r="AK366" s="0" t="s">
        <v>46</v>
      </c>
      <c r="AL366" s="0" t="s">
        <v>584</v>
      </c>
    </row>
    <row r="367" customFormat="false" ht="15" hidden="false" customHeight="false" outlineLevel="0" collapsed="false">
      <c r="B367" s="0" t="str">
        <f aca="false">HYPERLINK("https://genome.ucsc.edu/cgi-bin/hgTracks?db=hg19&amp;position=chr1%3A117150736%2D117150736", "chr1:117150736")</f>
        <v>chr1:117150736</v>
      </c>
      <c r="C367" s="0" t="s">
        <v>56</v>
      </c>
      <c r="D367" s="0" t="n">
        <v>117150736</v>
      </c>
      <c r="E367" s="0" t="n">
        <v>117150736</v>
      </c>
      <c r="F367" s="0" t="s">
        <v>39</v>
      </c>
      <c r="G367" s="0" t="s">
        <v>69</v>
      </c>
      <c r="H367" s="0" t="s">
        <v>1298</v>
      </c>
      <c r="I367" s="0" t="s">
        <v>2064</v>
      </c>
      <c r="J367" s="0" t="s">
        <v>2065</v>
      </c>
      <c r="K367" s="0" t="s">
        <v>46</v>
      </c>
      <c r="L367" s="0" t="str">
        <f aca="false">HYPERLINK("https://www.ncbi.nlm.nih.gov/snp/rs61786589", "rs61786589")</f>
        <v>rs61786589</v>
      </c>
      <c r="M367" s="0" t="str">
        <f aca="false">HYPERLINK("https://www.genecards.org/Search/Keyword?queryString=%5Baliases%5D(%20IGSF3%20)&amp;keywords=IGSF3", "IGSF3")</f>
        <v>IGSF3</v>
      </c>
      <c r="N367" s="0" t="s">
        <v>98</v>
      </c>
      <c r="O367" s="0" t="s">
        <v>99</v>
      </c>
      <c r="P367" s="0" t="s">
        <v>2066</v>
      </c>
      <c r="Q367" s="0" t="n">
        <v>0.0039909</v>
      </c>
      <c r="R367" s="0" t="n">
        <v>-1</v>
      </c>
      <c r="S367" s="0" t="n">
        <v>-1</v>
      </c>
      <c r="T367" s="0" t="n">
        <v>-1</v>
      </c>
      <c r="U367" s="0" t="n">
        <v>-1</v>
      </c>
      <c r="V367" s="0" t="s">
        <v>502</v>
      </c>
      <c r="W367" s="0" t="s">
        <v>46</v>
      </c>
      <c r="X367" s="0" t="s">
        <v>46</v>
      </c>
      <c r="Y367" s="0" t="s">
        <v>46</v>
      </c>
      <c r="Z367" s="0" t="s">
        <v>159</v>
      </c>
      <c r="AA367" s="0" t="s">
        <v>127</v>
      </c>
      <c r="AB367" s="0" t="s">
        <v>46</v>
      </c>
      <c r="AC367" s="0" t="s">
        <v>51</v>
      </c>
      <c r="AD367" s="0" t="s">
        <v>581</v>
      </c>
      <c r="AE367" s="0" t="s">
        <v>582</v>
      </c>
      <c r="AF367" s="0" t="s">
        <v>583</v>
      </c>
      <c r="AG367" s="0" t="s">
        <v>46</v>
      </c>
      <c r="AH367" s="0" t="s">
        <v>46</v>
      </c>
      <c r="AI367" s="0" t="s">
        <v>46</v>
      </c>
      <c r="AJ367" s="0" t="s">
        <v>46</v>
      </c>
      <c r="AK367" s="0" t="s">
        <v>46</v>
      </c>
      <c r="AL367" s="0" t="s">
        <v>584</v>
      </c>
    </row>
    <row r="368" customFormat="false" ht="15" hidden="false" customHeight="false" outlineLevel="0" collapsed="false">
      <c r="B368" s="0" t="str">
        <f aca="false">HYPERLINK("https://genome.ucsc.edu/cgi-bin/hgTracks?db=hg19&amp;position=chr1%3A117158972%2D117158972", "chr1:117158972")</f>
        <v>chr1:117158972</v>
      </c>
      <c r="C368" s="0" t="s">
        <v>56</v>
      </c>
      <c r="D368" s="0" t="n">
        <v>117158972</v>
      </c>
      <c r="E368" s="0" t="n">
        <v>117158972</v>
      </c>
      <c r="F368" s="0" t="s">
        <v>57</v>
      </c>
      <c r="G368" s="0" t="s">
        <v>69</v>
      </c>
      <c r="H368" s="0" t="s">
        <v>2067</v>
      </c>
      <c r="I368" s="0" t="s">
        <v>953</v>
      </c>
      <c r="J368" s="0" t="s">
        <v>2068</v>
      </c>
      <c r="K368" s="0" t="s">
        <v>46</v>
      </c>
      <c r="L368" s="0" t="str">
        <f aca="false">HYPERLINK("https://www.ncbi.nlm.nih.gov/snp/rs3965246", "rs3965246")</f>
        <v>rs3965246</v>
      </c>
      <c r="M368" s="0" t="str">
        <f aca="false">HYPERLINK("https://www.genecards.org/Search/Keyword?queryString=%5Baliases%5D(%20IGSF3%20)&amp;keywords=IGSF3", "IGSF3")</f>
        <v>IGSF3</v>
      </c>
      <c r="N368" s="0" t="s">
        <v>98</v>
      </c>
      <c r="O368" s="0" t="s">
        <v>99</v>
      </c>
      <c r="P368" s="0" t="s">
        <v>2069</v>
      </c>
      <c r="Q368" s="0" t="n">
        <v>0.002943</v>
      </c>
      <c r="R368" s="0" t="n">
        <v>-1</v>
      </c>
      <c r="S368" s="0" t="n">
        <v>-1</v>
      </c>
      <c r="T368" s="0" t="n">
        <v>-1</v>
      </c>
      <c r="U368" s="0" t="n">
        <v>-1</v>
      </c>
      <c r="V368" s="0" t="s">
        <v>688</v>
      </c>
      <c r="W368" s="0" t="s">
        <v>46</v>
      </c>
      <c r="X368" s="0" t="s">
        <v>46</v>
      </c>
      <c r="Y368" s="0" t="s">
        <v>46</v>
      </c>
      <c r="Z368" s="0" t="s">
        <v>159</v>
      </c>
      <c r="AA368" s="0" t="s">
        <v>127</v>
      </c>
      <c r="AB368" s="0" t="s">
        <v>46</v>
      </c>
      <c r="AC368" s="0" t="s">
        <v>51</v>
      </c>
      <c r="AD368" s="0" t="s">
        <v>581</v>
      </c>
      <c r="AE368" s="0" t="s">
        <v>582</v>
      </c>
      <c r="AF368" s="0" t="s">
        <v>583</v>
      </c>
      <c r="AG368" s="0" t="s">
        <v>46</v>
      </c>
      <c r="AH368" s="0" t="s">
        <v>46</v>
      </c>
      <c r="AI368" s="0" t="s">
        <v>46</v>
      </c>
      <c r="AJ368" s="0" t="s">
        <v>46</v>
      </c>
      <c r="AK368" s="0" t="s">
        <v>46</v>
      </c>
      <c r="AL368" s="0" t="s">
        <v>584</v>
      </c>
    </row>
    <row r="369" customFormat="false" ht="15" hidden="false" customHeight="false" outlineLevel="0" collapsed="false">
      <c r="B369" s="0" t="str">
        <f aca="false">HYPERLINK("https://genome.ucsc.edu/cgi-bin/hgTracks?db=hg19&amp;position=chr12%3A52788814%2D52788814", "chr12:52788814")</f>
        <v>chr12:52788814</v>
      </c>
      <c r="C369" s="0" t="s">
        <v>235</v>
      </c>
      <c r="D369" s="0" t="n">
        <v>52788814</v>
      </c>
      <c r="E369" s="0" t="n">
        <v>52788814</v>
      </c>
      <c r="F369" s="0" t="s">
        <v>39</v>
      </c>
      <c r="G369" s="0" t="s">
        <v>40</v>
      </c>
      <c r="H369" s="0" t="s">
        <v>2070</v>
      </c>
      <c r="I369" s="0" t="s">
        <v>427</v>
      </c>
      <c r="J369" s="0" t="s">
        <v>2071</v>
      </c>
      <c r="K369" s="0" t="s">
        <v>46</v>
      </c>
      <c r="L369" s="0" t="str">
        <f aca="false">HYPERLINK("https://www.ncbi.nlm.nih.gov/snp/rs61730587", "rs61730587")</f>
        <v>rs61730587</v>
      </c>
      <c r="M369" s="0" t="str">
        <f aca="false">HYPERLINK("https://www.genecards.org/Search/Keyword?queryString=%5Baliases%5D(%20KRT82%20)&amp;keywords=KRT82", "KRT82")</f>
        <v>KRT82</v>
      </c>
      <c r="N369" s="0" t="s">
        <v>98</v>
      </c>
      <c r="O369" s="0" t="s">
        <v>99</v>
      </c>
      <c r="P369" s="0" t="s">
        <v>2072</v>
      </c>
      <c r="Q369" s="0" t="n">
        <v>0.0172</v>
      </c>
      <c r="R369" s="0" t="n">
        <v>0.01</v>
      </c>
      <c r="S369" s="0" t="n">
        <v>0.0115</v>
      </c>
      <c r="T369" s="0" t="n">
        <v>-1</v>
      </c>
      <c r="U369" s="0" t="n">
        <v>0.0062</v>
      </c>
      <c r="V369" s="0" t="s">
        <v>158</v>
      </c>
      <c r="W369" s="0" t="s">
        <v>46</v>
      </c>
      <c r="X369" s="0" t="s">
        <v>46</v>
      </c>
      <c r="Y369" s="0" t="s">
        <v>46</v>
      </c>
      <c r="Z369" s="0" t="s">
        <v>49</v>
      </c>
      <c r="AA369" s="0" t="s">
        <v>127</v>
      </c>
      <c r="AB369" s="0" t="s">
        <v>46</v>
      </c>
      <c r="AC369" s="0" t="s">
        <v>51</v>
      </c>
      <c r="AD369" s="0" t="s">
        <v>52</v>
      </c>
      <c r="AE369" s="0" t="s">
        <v>2073</v>
      </c>
      <c r="AF369" s="0" t="s">
        <v>2074</v>
      </c>
      <c r="AG369" s="0" t="s">
        <v>46</v>
      </c>
      <c r="AH369" s="0" t="s">
        <v>46</v>
      </c>
      <c r="AI369" s="0" t="s">
        <v>46</v>
      </c>
      <c r="AJ369" s="0" t="s">
        <v>46</v>
      </c>
      <c r="AK369" s="0" t="s">
        <v>46</v>
      </c>
      <c r="AL369" s="0" t="s">
        <v>46</v>
      </c>
    </row>
    <row r="370" customFormat="false" ht="15" hidden="false" customHeight="false" outlineLevel="0" collapsed="false">
      <c r="B370" s="0" t="str">
        <f aca="false">HYPERLINK("https://genome.ucsc.edu/cgi-bin/hgTracks?db=hg19&amp;position=chr15%3A56923895%2D56923895", "chr15:56923895")</f>
        <v>chr15:56923895</v>
      </c>
      <c r="C370" s="0" t="s">
        <v>81</v>
      </c>
      <c r="D370" s="0" t="n">
        <v>56923895</v>
      </c>
      <c r="E370" s="0" t="n">
        <v>56923895</v>
      </c>
      <c r="F370" s="0" t="s">
        <v>39</v>
      </c>
      <c r="G370" s="0" t="s">
        <v>57</v>
      </c>
      <c r="H370" s="0" t="s">
        <v>1046</v>
      </c>
      <c r="I370" s="0" t="s">
        <v>178</v>
      </c>
      <c r="J370" s="0" t="s">
        <v>255</v>
      </c>
      <c r="K370" s="0" t="s">
        <v>46</v>
      </c>
      <c r="L370" s="0" t="str">
        <f aca="false">HYPERLINK("https://www.ncbi.nlm.nih.gov/snp/rs61741526", "rs61741526")</f>
        <v>rs61741526</v>
      </c>
      <c r="M370" s="0" t="str">
        <f aca="false">HYPERLINK("https://www.genecards.org/Search/Keyword?queryString=%5Baliases%5D(%20ZNF280D%20)&amp;keywords=ZNF280D", "ZNF280D")</f>
        <v>ZNF280D</v>
      </c>
      <c r="N370" s="0" t="s">
        <v>98</v>
      </c>
      <c r="O370" s="0" t="s">
        <v>99</v>
      </c>
      <c r="P370" s="0" t="s">
        <v>2075</v>
      </c>
      <c r="Q370" s="0" t="n">
        <v>0.0239</v>
      </c>
      <c r="R370" s="0" t="n">
        <v>0.0217</v>
      </c>
      <c r="S370" s="0" t="n">
        <v>0.0238</v>
      </c>
      <c r="T370" s="0" t="n">
        <v>-1</v>
      </c>
      <c r="U370" s="0" t="n">
        <v>0.0201</v>
      </c>
      <c r="V370" s="0" t="s">
        <v>314</v>
      </c>
      <c r="W370" s="0" t="s">
        <v>46</v>
      </c>
      <c r="X370" s="0" t="s">
        <v>46</v>
      </c>
      <c r="Y370" s="0" t="s">
        <v>46</v>
      </c>
      <c r="Z370" s="0" t="s">
        <v>159</v>
      </c>
      <c r="AA370" s="0" t="s">
        <v>127</v>
      </c>
      <c r="AB370" s="0" t="s">
        <v>46</v>
      </c>
      <c r="AC370" s="0" t="s">
        <v>51</v>
      </c>
      <c r="AD370" s="0" t="s">
        <v>52</v>
      </c>
      <c r="AE370" s="0" t="s">
        <v>2076</v>
      </c>
      <c r="AF370" s="0" t="s">
        <v>2077</v>
      </c>
      <c r="AG370" s="0" t="s">
        <v>2078</v>
      </c>
      <c r="AH370" s="0" t="s">
        <v>46</v>
      </c>
      <c r="AI370" s="0" t="s">
        <v>46</v>
      </c>
      <c r="AJ370" s="0" t="s">
        <v>46</v>
      </c>
      <c r="AK370" s="0" t="s">
        <v>46</v>
      </c>
      <c r="AL370" s="0" t="s">
        <v>46</v>
      </c>
    </row>
    <row r="371" customFormat="false" ht="15" hidden="false" customHeight="false" outlineLevel="0" collapsed="false">
      <c r="B371" s="0" t="str">
        <f aca="false">HYPERLINK("https://genome.ucsc.edu/cgi-bin/hgTracks?db=hg19&amp;position=chr16%3A624613%2D624613", "chr16:624613")</f>
        <v>chr16:624613</v>
      </c>
      <c r="C371" s="0" t="s">
        <v>271</v>
      </c>
      <c r="D371" s="0" t="n">
        <v>624613</v>
      </c>
      <c r="E371" s="0" t="n">
        <v>624613</v>
      </c>
      <c r="F371" s="0" t="s">
        <v>69</v>
      </c>
      <c r="G371" s="0" t="s">
        <v>57</v>
      </c>
      <c r="H371" s="0" t="s">
        <v>2079</v>
      </c>
      <c r="I371" s="0" t="s">
        <v>288</v>
      </c>
      <c r="J371" s="0" t="s">
        <v>2080</v>
      </c>
      <c r="K371" s="0" t="s">
        <v>46</v>
      </c>
      <c r="L371" s="0" t="str">
        <f aca="false">HYPERLINK("https://www.ncbi.nlm.nih.gov/snp/rs376046019", "rs376046019")</f>
        <v>rs376046019</v>
      </c>
      <c r="M371" s="0" t="str">
        <f aca="false">HYPERLINK("https://www.genecards.org/Search/Keyword?queryString=%5Baliases%5D(%20PIGQ%20)&amp;keywords=PIGQ", "PIGQ")</f>
        <v>PIGQ</v>
      </c>
      <c r="N371" s="0" t="s">
        <v>98</v>
      </c>
      <c r="O371" s="0" t="s">
        <v>99</v>
      </c>
      <c r="P371" s="0" t="s">
        <v>2081</v>
      </c>
      <c r="Q371" s="0" t="n">
        <v>0.0001</v>
      </c>
      <c r="R371" s="0" t="n">
        <v>0.0001</v>
      </c>
      <c r="S371" s="0" t="n">
        <v>-1</v>
      </c>
      <c r="T371" s="0" t="n">
        <v>-1</v>
      </c>
      <c r="U371" s="0" t="n">
        <v>-1</v>
      </c>
      <c r="V371" s="0" t="s">
        <v>170</v>
      </c>
      <c r="W371" s="0" t="s">
        <v>46</v>
      </c>
      <c r="X371" s="0" t="s">
        <v>46</v>
      </c>
      <c r="Y371" s="0" t="s">
        <v>46</v>
      </c>
      <c r="Z371" s="0" t="s">
        <v>138</v>
      </c>
      <c r="AA371" s="0" t="s">
        <v>127</v>
      </c>
      <c r="AB371" s="0" t="s">
        <v>46</v>
      </c>
      <c r="AC371" s="0" t="s">
        <v>51</v>
      </c>
      <c r="AD371" s="0" t="s">
        <v>52</v>
      </c>
      <c r="AE371" s="0" t="s">
        <v>2082</v>
      </c>
      <c r="AF371" s="0" t="s">
        <v>2083</v>
      </c>
      <c r="AG371" s="0" t="s">
        <v>2084</v>
      </c>
      <c r="AH371" s="0" t="s">
        <v>46</v>
      </c>
      <c r="AI371" s="0" t="s">
        <v>46</v>
      </c>
      <c r="AJ371" s="0" t="s">
        <v>46</v>
      </c>
      <c r="AK371" s="0" t="s">
        <v>46</v>
      </c>
      <c r="AL371" s="0" t="s">
        <v>46</v>
      </c>
    </row>
    <row r="372" customFormat="false" ht="15" hidden="false" customHeight="false" outlineLevel="0" collapsed="false">
      <c r="B372" s="0" t="str">
        <f aca="false">HYPERLINK("https://genome.ucsc.edu/cgi-bin/hgTracks?db=hg19&amp;position=chr16%3A31539927%2D31539927", "chr16:31539927")</f>
        <v>chr16:31539927</v>
      </c>
      <c r="C372" s="0" t="s">
        <v>271</v>
      </c>
      <c r="D372" s="0" t="n">
        <v>31539927</v>
      </c>
      <c r="E372" s="0" t="n">
        <v>31539927</v>
      </c>
      <c r="F372" s="0" t="s">
        <v>57</v>
      </c>
      <c r="G372" s="0" t="s">
        <v>40</v>
      </c>
      <c r="H372" s="0" t="s">
        <v>2085</v>
      </c>
      <c r="I372" s="0" t="s">
        <v>1032</v>
      </c>
      <c r="J372" s="0" t="s">
        <v>1581</v>
      </c>
      <c r="K372" s="0" t="s">
        <v>46</v>
      </c>
      <c r="L372" s="0" t="str">
        <f aca="false">HYPERLINK("https://www.ncbi.nlm.nih.gov/snp/rs75782426", "rs75782426")</f>
        <v>rs75782426</v>
      </c>
      <c r="M372" s="0" t="str">
        <f aca="false">HYPERLINK("https://www.genecards.org/Search/Keyword?queryString=%5Baliases%5D(%20AHSP%20)&amp;keywords=AHSP", "AHSP")</f>
        <v>AHSP</v>
      </c>
      <c r="N372" s="0" t="s">
        <v>98</v>
      </c>
      <c r="O372" s="0" t="s">
        <v>99</v>
      </c>
      <c r="P372" s="0" t="s">
        <v>2086</v>
      </c>
      <c r="Q372" s="0" t="n">
        <v>0.009</v>
      </c>
      <c r="R372" s="0" t="n">
        <v>0.0093</v>
      </c>
      <c r="S372" s="0" t="n">
        <v>0.009</v>
      </c>
      <c r="T372" s="0" t="n">
        <v>-1</v>
      </c>
      <c r="U372" s="0" t="n">
        <v>0.0098</v>
      </c>
      <c r="V372" s="0" t="s">
        <v>215</v>
      </c>
      <c r="W372" s="0" t="s">
        <v>46</v>
      </c>
      <c r="X372" s="0" t="s">
        <v>46</v>
      </c>
      <c r="Y372" s="0" t="s">
        <v>46</v>
      </c>
      <c r="Z372" s="0" t="s">
        <v>138</v>
      </c>
      <c r="AA372" s="0" t="s">
        <v>127</v>
      </c>
      <c r="AB372" s="0" t="s">
        <v>46</v>
      </c>
      <c r="AC372" s="0" t="s">
        <v>51</v>
      </c>
      <c r="AD372" s="0" t="s">
        <v>52</v>
      </c>
      <c r="AE372" s="0" t="s">
        <v>2087</v>
      </c>
      <c r="AF372" s="0" t="s">
        <v>2088</v>
      </c>
      <c r="AG372" s="0" t="s">
        <v>2089</v>
      </c>
      <c r="AH372" s="0" t="s">
        <v>46</v>
      </c>
      <c r="AI372" s="0" t="s">
        <v>46</v>
      </c>
      <c r="AJ372" s="0" t="s">
        <v>46</v>
      </c>
      <c r="AK372" s="0" t="s">
        <v>46</v>
      </c>
      <c r="AL372" s="0" t="s">
        <v>46</v>
      </c>
    </row>
    <row r="373" customFormat="false" ht="15" hidden="false" customHeight="false" outlineLevel="0" collapsed="false">
      <c r="B373" s="0" t="str">
        <f aca="false">HYPERLINK("https://genome.ucsc.edu/cgi-bin/hgTracks?db=hg19&amp;position=chr16%3A89017483%2D89017483", "chr16:89017483")</f>
        <v>chr16:89017483</v>
      </c>
      <c r="C373" s="0" t="s">
        <v>271</v>
      </c>
      <c r="D373" s="0" t="n">
        <v>89017483</v>
      </c>
      <c r="E373" s="0" t="n">
        <v>89017483</v>
      </c>
      <c r="F373" s="0" t="s">
        <v>39</v>
      </c>
      <c r="G373" s="0" t="s">
        <v>69</v>
      </c>
      <c r="H373" s="0" t="s">
        <v>2090</v>
      </c>
      <c r="I373" s="0" t="s">
        <v>361</v>
      </c>
      <c r="J373" s="0" t="s">
        <v>2091</v>
      </c>
      <c r="K373" s="0" t="s">
        <v>46</v>
      </c>
      <c r="L373" s="0" t="str">
        <f aca="false">HYPERLINK("https://www.ncbi.nlm.nih.gov/snp/rs200170070", "rs200170070")</f>
        <v>rs200170070</v>
      </c>
      <c r="M373" s="0" t="str">
        <f aca="false">HYPERLINK("https://www.genecards.org/Search/Keyword?queryString=%5Baliases%5D(%20CBFA2T3%20)%20OR%20%5Baliases%5D(%20LOC100129697%20)&amp;keywords=CBFA2T3,LOC100129697", "CBFA2T3;LOC100129697")</f>
        <v>CBFA2T3;LOC100129697</v>
      </c>
      <c r="N373" s="0" t="s">
        <v>1261</v>
      </c>
      <c r="O373" s="0" t="s">
        <v>46</v>
      </c>
      <c r="P373" s="0" t="s">
        <v>46</v>
      </c>
      <c r="Q373" s="0" t="n">
        <v>0.0161</v>
      </c>
      <c r="R373" s="0" t="n">
        <v>0.0089</v>
      </c>
      <c r="S373" s="0" t="n">
        <v>0.0098</v>
      </c>
      <c r="T373" s="0" t="n">
        <v>-1</v>
      </c>
      <c r="U373" s="0" t="n">
        <v>0.0159</v>
      </c>
      <c r="V373" s="0" t="s">
        <v>46</v>
      </c>
      <c r="W373" s="0" t="s">
        <v>46</v>
      </c>
      <c r="X373" s="0" t="s">
        <v>46</v>
      </c>
      <c r="Y373" s="0" t="s">
        <v>46</v>
      </c>
      <c r="Z373" s="0" t="s">
        <v>46</v>
      </c>
      <c r="AA373" s="0" t="s">
        <v>127</v>
      </c>
      <c r="AB373" s="0" t="s">
        <v>46</v>
      </c>
      <c r="AC373" s="0" t="s">
        <v>51</v>
      </c>
      <c r="AD373" s="0" t="s">
        <v>1263</v>
      </c>
      <c r="AE373" s="0" t="s">
        <v>1264</v>
      </c>
      <c r="AF373" s="0" t="s">
        <v>1265</v>
      </c>
      <c r="AG373" s="0" t="s">
        <v>1266</v>
      </c>
      <c r="AH373" s="0" t="s">
        <v>1267</v>
      </c>
      <c r="AI373" s="0" t="s">
        <v>46</v>
      </c>
      <c r="AJ373" s="0" t="s">
        <v>46</v>
      </c>
      <c r="AK373" s="0" t="s">
        <v>46</v>
      </c>
      <c r="AL373" s="0" t="s">
        <v>584</v>
      </c>
    </row>
    <row r="374" customFormat="false" ht="15" hidden="false" customHeight="false" outlineLevel="0" collapsed="false">
      <c r="B374" s="0" t="str">
        <f aca="false">HYPERLINK("https://genome.ucsc.edu/cgi-bin/hgTracks?db=hg19&amp;position=chr17%3A57058177%2D57058177", "chr17:57058177")</f>
        <v>chr17:57058177</v>
      </c>
      <c r="C374" s="0" t="s">
        <v>279</v>
      </c>
      <c r="D374" s="0" t="n">
        <v>57058177</v>
      </c>
      <c r="E374" s="0" t="n">
        <v>57058177</v>
      </c>
      <c r="F374" s="0" t="s">
        <v>39</v>
      </c>
      <c r="G374" s="0" t="s">
        <v>40</v>
      </c>
      <c r="H374" s="0" t="s">
        <v>2092</v>
      </c>
      <c r="I374" s="0" t="s">
        <v>111</v>
      </c>
      <c r="J374" s="0" t="s">
        <v>112</v>
      </c>
      <c r="K374" s="0" t="s">
        <v>46</v>
      </c>
      <c r="L374" s="0" t="str">
        <f aca="false">HYPERLINK("https://www.ncbi.nlm.nih.gov/snp/rs150938883", "rs150938883")</f>
        <v>rs150938883</v>
      </c>
      <c r="M374" s="0" t="str">
        <f aca="false">HYPERLINK("https://www.genecards.org/Search/Keyword?queryString=%5Baliases%5D(%20PPM1E%20)&amp;keywords=PPM1E", "PPM1E")</f>
        <v>PPM1E</v>
      </c>
      <c r="N374" s="0" t="s">
        <v>98</v>
      </c>
      <c r="O374" s="0" t="s">
        <v>99</v>
      </c>
      <c r="P374" s="0" t="s">
        <v>2093</v>
      </c>
      <c r="Q374" s="0" t="n">
        <v>0.0119</v>
      </c>
      <c r="R374" s="0" t="n">
        <v>0.0089</v>
      </c>
      <c r="S374" s="0" t="n">
        <v>0.007</v>
      </c>
      <c r="T374" s="0" t="n">
        <v>-1</v>
      </c>
      <c r="U374" s="0" t="n">
        <v>0.0138</v>
      </c>
      <c r="V374" s="0" t="s">
        <v>148</v>
      </c>
      <c r="W374" s="0" t="s">
        <v>46</v>
      </c>
      <c r="X374" s="0" t="s">
        <v>46</v>
      </c>
      <c r="Y374" s="0" t="s">
        <v>46</v>
      </c>
      <c r="Z374" s="0" t="s">
        <v>138</v>
      </c>
      <c r="AA374" s="0" t="s">
        <v>127</v>
      </c>
      <c r="AB374" s="0" t="s">
        <v>46</v>
      </c>
      <c r="AC374" s="0" t="s">
        <v>51</v>
      </c>
      <c r="AD374" s="0" t="s">
        <v>52</v>
      </c>
      <c r="AE374" s="0" t="s">
        <v>2094</v>
      </c>
      <c r="AF374" s="0" t="s">
        <v>2095</v>
      </c>
      <c r="AG374" s="0" t="s">
        <v>2096</v>
      </c>
      <c r="AH374" s="0" t="s">
        <v>46</v>
      </c>
      <c r="AI374" s="0" t="s">
        <v>46</v>
      </c>
      <c r="AJ374" s="0" t="s">
        <v>46</v>
      </c>
      <c r="AK374" s="0" t="s">
        <v>46</v>
      </c>
      <c r="AL374" s="0" t="s">
        <v>46</v>
      </c>
    </row>
    <row r="375" customFormat="false" ht="15" hidden="false" customHeight="false" outlineLevel="0" collapsed="false">
      <c r="B375" s="0" t="str">
        <f aca="false">HYPERLINK("https://genome.ucsc.edu/cgi-bin/hgTracks?db=hg19&amp;position=chr17%3A76046676%2D76046676", "chr17:76046676")</f>
        <v>chr17:76046676</v>
      </c>
      <c r="C375" s="0" t="s">
        <v>279</v>
      </c>
      <c r="D375" s="0" t="n">
        <v>76046676</v>
      </c>
      <c r="E375" s="0" t="n">
        <v>76046676</v>
      </c>
      <c r="F375" s="0" t="s">
        <v>39</v>
      </c>
      <c r="G375" s="0" t="s">
        <v>57</v>
      </c>
      <c r="H375" s="0" t="s">
        <v>2097</v>
      </c>
      <c r="I375" s="0" t="s">
        <v>2064</v>
      </c>
      <c r="J375" s="0" t="s">
        <v>2098</v>
      </c>
      <c r="K375" s="0" t="s">
        <v>46</v>
      </c>
      <c r="L375" s="0" t="str">
        <f aca="false">HYPERLINK("https://www.ncbi.nlm.nih.gov/snp/rs72894058", "rs72894058")</f>
        <v>rs72894058</v>
      </c>
      <c r="M375" s="0" t="str">
        <f aca="false">HYPERLINK("https://www.genecards.org/Search/Keyword?queryString=%5Baliases%5D(%20TNRC6C%20)&amp;keywords=TNRC6C", "TNRC6C")</f>
        <v>TNRC6C</v>
      </c>
      <c r="N375" s="0" t="s">
        <v>98</v>
      </c>
      <c r="O375" s="0" t="s">
        <v>99</v>
      </c>
      <c r="P375" s="0" t="s">
        <v>2099</v>
      </c>
      <c r="Q375" s="0" t="n">
        <v>0.0239</v>
      </c>
      <c r="R375" s="0" t="n">
        <v>0.0221</v>
      </c>
      <c r="S375" s="0" t="n">
        <v>0.0222</v>
      </c>
      <c r="T375" s="0" t="n">
        <v>-1</v>
      </c>
      <c r="U375" s="0" t="n">
        <v>0.0167</v>
      </c>
      <c r="V375" s="0" t="s">
        <v>158</v>
      </c>
      <c r="W375" s="0" t="s">
        <v>46</v>
      </c>
      <c r="X375" s="0" t="s">
        <v>46</v>
      </c>
      <c r="Y375" s="0" t="s">
        <v>46</v>
      </c>
      <c r="Z375" s="0" t="s">
        <v>138</v>
      </c>
      <c r="AA375" s="0" t="s">
        <v>127</v>
      </c>
      <c r="AB375" s="0" t="s">
        <v>46</v>
      </c>
      <c r="AC375" s="0" t="s">
        <v>51</v>
      </c>
      <c r="AD375" s="0" t="s">
        <v>52</v>
      </c>
      <c r="AE375" s="0" t="s">
        <v>2100</v>
      </c>
      <c r="AF375" s="0" t="s">
        <v>2101</v>
      </c>
      <c r="AG375" s="0" t="s">
        <v>2102</v>
      </c>
      <c r="AH375" s="0" t="s">
        <v>46</v>
      </c>
      <c r="AI375" s="0" t="s">
        <v>46</v>
      </c>
      <c r="AJ375" s="0" t="s">
        <v>46</v>
      </c>
      <c r="AK375" s="0" t="s">
        <v>46</v>
      </c>
      <c r="AL375" s="0" t="s">
        <v>46</v>
      </c>
    </row>
    <row r="376" customFormat="false" ht="15" hidden="false" customHeight="false" outlineLevel="0" collapsed="false">
      <c r="B376" s="0" t="str">
        <f aca="false">HYPERLINK("https://genome.ucsc.edu/cgi-bin/hgTracks?db=hg19&amp;position=chr19%3A38746787%2D38746787", "chr19:38746787")</f>
        <v>chr19:38746787</v>
      </c>
      <c r="C376" s="0" t="s">
        <v>1348</v>
      </c>
      <c r="D376" s="0" t="n">
        <v>38746787</v>
      </c>
      <c r="E376" s="0" t="n">
        <v>38746787</v>
      </c>
      <c r="F376" s="0" t="s">
        <v>69</v>
      </c>
      <c r="G376" s="0" t="s">
        <v>57</v>
      </c>
      <c r="H376" s="0" t="s">
        <v>2103</v>
      </c>
      <c r="I376" s="0" t="s">
        <v>133</v>
      </c>
      <c r="J376" s="0" t="s">
        <v>2104</v>
      </c>
      <c r="K376" s="0" t="s">
        <v>46</v>
      </c>
      <c r="L376" s="0" t="str">
        <f aca="false">HYPERLINK("https://www.ncbi.nlm.nih.gov/snp/rs199500628", "rs199500628")</f>
        <v>rs199500628</v>
      </c>
      <c r="M376" s="0" t="str">
        <f aca="false">HYPERLINK("https://www.genecards.org/Search/Keyword?queryString=%5Baliases%5D(%20PPP1R14A%20)&amp;keywords=PPP1R14A", "PPP1R14A")</f>
        <v>PPP1R14A</v>
      </c>
      <c r="N376" s="0" t="s">
        <v>98</v>
      </c>
      <c r="O376" s="0" t="s">
        <v>99</v>
      </c>
      <c r="P376" s="0" t="s">
        <v>2105</v>
      </c>
      <c r="Q376" s="0" t="n">
        <v>0.017857</v>
      </c>
      <c r="R376" s="0" t="n">
        <v>0.0004</v>
      </c>
      <c r="S376" s="0" t="n">
        <v>0.0004</v>
      </c>
      <c r="T376" s="0" t="n">
        <v>-1</v>
      </c>
      <c r="U376" s="0" t="n">
        <v>0.0002</v>
      </c>
      <c r="V376" s="0" t="s">
        <v>1890</v>
      </c>
      <c r="W376" s="0" t="s">
        <v>46</v>
      </c>
      <c r="X376" s="0" t="s">
        <v>46</v>
      </c>
      <c r="Y376" s="0" t="s">
        <v>46</v>
      </c>
      <c r="Z376" s="0" t="s">
        <v>138</v>
      </c>
      <c r="AA376" s="0" t="s">
        <v>127</v>
      </c>
      <c r="AB376" s="0" t="s">
        <v>46</v>
      </c>
      <c r="AC376" s="0" t="s">
        <v>51</v>
      </c>
      <c r="AD376" s="0" t="s">
        <v>52</v>
      </c>
      <c r="AE376" s="0" t="s">
        <v>2106</v>
      </c>
      <c r="AF376" s="0" t="s">
        <v>2107</v>
      </c>
      <c r="AG376" s="0" t="s">
        <v>2108</v>
      </c>
      <c r="AH376" s="0" t="s">
        <v>46</v>
      </c>
      <c r="AI376" s="0" t="s">
        <v>46</v>
      </c>
      <c r="AJ376" s="0" t="s">
        <v>46</v>
      </c>
      <c r="AK376" s="0" t="s">
        <v>46</v>
      </c>
      <c r="AL376" s="0" t="s">
        <v>46</v>
      </c>
    </row>
    <row r="377" customFormat="false" ht="15" hidden="false" customHeight="false" outlineLevel="0" collapsed="false">
      <c r="B377" s="0" t="str">
        <f aca="false">HYPERLINK("https://genome.ucsc.edu/cgi-bin/hgTracks?db=hg19&amp;position=chr19%3A55698955%2D55698955", "chr19:55698955")</f>
        <v>chr19:55698955</v>
      </c>
      <c r="C377" s="0" t="s">
        <v>1348</v>
      </c>
      <c r="D377" s="0" t="n">
        <v>55698955</v>
      </c>
      <c r="E377" s="0" t="n">
        <v>55698955</v>
      </c>
      <c r="F377" s="0" t="s">
        <v>39</v>
      </c>
      <c r="G377" s="0" t="s">
        <v>40</v>
      </c>
      <c r="H377" s="0" t="s">
        <v>2109</v>
      </c>
      <c r="I377" s="0" t="s">
        <v>707</v>
      </c>
      <c r="J377" s="0" t="s">
        <v>2110</v>
      </c>
      <c r="K377" s="0" t="s">
        <v>46</v>
      </c>
      <c r="L377" s="0" t="str">
        <f aca="false">HYPERLINK("https://www.ncbi.nlm.nih.gov/snp/rs36092369", "rs36092369")</f>
        <v>rs36092369</v>
      </c>
      <c r="M377" s="0" t="str">
        <f aca="false">HYPERLINK("https://www.genecards.org/Search/Keyword?queryString=%5Baliases%5D(%20PTPRH%20)&amp;keywords=PTPRH", "PTPRH")</f>
        <v>PTPRH</v>
      </c>
      <c r="N377" s="0" t="s">
        <v>98</v>
      </c>
      <c r="O377" s="0" t="s">
        <v>99</v>
      </c>
      <c r="P377" s="0" t="s">
        <v>2111</v>
      </c>
      <c r="Q377" s="0" t="n">
        <v>0.0258</v>
      </c>
      <c r="R377" s="0" t="n">
        <v>0.0191</v>
      </c>
      <c r="S377" s="0" t="n">
        <v>0.0217</v>
      </c>
      <c r="T377" s="0" t="n">
        <v>-1</v>
      </c>
      <c r="U377" s="0" t="n">
        <v>0.0246</v>
      </c>
      <c r="V377" s="0" t="s">
        <v>148</v>
      </c>
      <c r="W377" s="0" t="s">
        <v>46</v>
      </c>
      <c r="X377" s="0" t="s">
        <v>46</v>
      </c>
      <c r="Y377" s="0" t="s">
        <v>46</v>
      </c>
      <c r="Z377" s="0" t="s">
        <v>49</v>
      </c>
      <c r="AA377" s="0" t="s">
        <v>127</v>
      </c>
      <c r="AB377" s="0" t="s">
        <v>46</v>
      </c>
      <c r="AC377" s="0" t="s">
        <v>1190</v>
      </c>
      <c r="AD377" s="0" t="s">
        <v>52</v>
      </c>
      <c r="AE377" s="0" t="s">
        <v>2112</v>
      </c>
      <c r="AF377" s="0" t="s">
        <v>2113</v>
      </c>
      <c r="AG377" s="0" t="s">
        <v>2114</v>
      </c>
      <c r="AH377" s="0" t="s">
        <v>46</v>
      </c>
      <c r="AI377" s="0" t="s">
        <v>46</v>
      </c>
      <c r="AJ377" s="0" t="s">
        <v>46</v>
      </c>
      <c r="AK377" s="0" t="s">
        <v>46</v>
      </c>
      <c r="AL377" s="0" t="s">
        <v>46</v>
      </c>
    </row>
    <row r="378" customFormat="false" ht="15" hidden="false" customHeight="false" outlineLevel="0" collapsed="false">
      <c r="B378" s="0" t="str">
        <f aca="false">HYPERLINK("https://genome.ucsc.edu/cgi-bin/hgTracks?db=hg19&amp;position=chr3%3A148559651%2D148559651", "chr3:148559651")</f>
        <v>chr3:148559651</v>
      </c>
      <c r="C378" s="0" t="s">
        <v>309</v>
      </c>
      <c r="D378" s="0" t="n">
        <v>148559651</v>
      </c>
      <c r="E378" s="0" t="n">
        <v>148559651</v>
      </c>
      <c r="F378" s="0" t="s">
        <v>39</v>
      </c>
      <c r="G378" s="0" t="s">
        <v>57</v>
      </c>
      <c r="H378" s="0" t="s">
        <v>2115</v>
      </c>
      <c r="I378" s="0" t="s">
        <v>1146</v>
      </c>
      <c r="J378" s="0" t="s">
        <v>1147</v>
      </c>
      <c r="K378" s="0" t="s">
        <v>46</v>
      </c>
      <c r="L378" s="0" t="str">
        <f aca="false">HYPERLINK("https://www.ncbi.nlm.nih.gov/snp/rs138120056", "rs138120056")</f>
        <v>rs138120056</v>
      </c>
      <c r="M378" s="0" t="str">
        <f aca="false">HYPERLINK("https://www.genecards.org/Search/Keyword?queryString=%5Baliases%5D(%20CPB1%20)&amp;keywords=CPB1", "CPB1")</f>
        <v>CPB1</v>
      </c>
      <c r="N378" s="0" t="s">
        <v>98</v>
      </c>
      <c r="O378" s="0" t="s">
        <v>99</v>
      </c>
      <c r="P378" s="0" t="s">
        <v>2116</v>
      </c>
      <c r="Q378" s="0" t="n">
        <v>0.0276</v>
      </c>
      <c r="R378" s="0" t="n">
        <v>0.0069</v>
      </c>
      <c r="S378" s="0" t="n">
        <v>0.009</v>
      </c>
      <c r="T378" s="0" t="n">
        <v>-1</v>
      </c>
      <c r="U378" s="0" t="n">
        <v>0.0081</v>
      </c>
      <c r="V378" s="0" t="s">
        <v>126</v>
      </c>
      <c r="W378" s="0" t="s">
        <v>46</v>
      </c>
      <c r="X378" s="0" t="s">
        <v>46</v>
      </c>
      <c r="Y378" s="0" t="s">
        <v>46</v>
      </c>
      <c r="Z378" s="0" t="s">
        <v>138</v>
      </c>
      <c r="AA378" s="0" t="s">
        <v>127</v>
      </c>
      <c r="AB378" s="0" t="s">
        <v>46</v>
      </c>
      <c r="AC378" s="0" t="s">
        <v>51</v>
      </c>
      <c r="AD378" s="0" t="s">
        <v>52</v>
      </c>
      <c r="AE378" s="0" t="s">
        <v>2117</v>
      </c>
      <c r="AF378" s="0" t="s">
        <v>2118</v>
      </c>
      <c r="AG378" s="0" t="s">
        <v>46</v>
      </c>
      <c r="AH378" s="0" t="s">
        <v>46</v>
      </c>
      <c r="AI378" s="0" t="s">
        <v>46</v>
      </c>
      <c r="AJ378" s="0" t="s">
        <v>46</v>
      </c>
      <c r="AK378" s="0" t="s">
        <v>46</v>
      </c>
      <c r="AL378" s="0" t="s">
        <v>46</v>
      </c>
    </row>
    <row r="379" customFormat="false" ht="15" hidden="false" customHeight="false" outlineLevel="0" collapsed="false">
      <c r="B379" s="0" t="str">
        <f aca="false">HYPERLINK("https://genome.ucsc.edu/cgi-bin/hgTracks?db=hg19&amp;position=chr4%3A13603200%2D13603200", "chr4:13603200")</f>
        <v>chr4:13603200</v>
      </c>
      <c r="C379" s="0" t="s">
        <v>245</v>
      </c>
      <c r="D379" s="0" t="n">
        <v>13603200</v>
      </c>
      <c r="E379" s="0" t="n">
        <v>13603200</v>
      </c>
      <c r="F379" s="0" t="s">
        <v>40</v>
      </c>
      <c r="G379" s="0" t="s">
        <v>69</v>
      </c>
      <c r="H379" s="0" t="s">
        <v>2119</v>
      </c>
      <c r="I379" s="0" t="s">
        <v>1969</v>
      </c>
      <c r="J379" s="0" t="s">
        <v>2120</v>
      </c>
      <c r="K379" s="0" t="s">
        <v>46</v>
      </c>
      <c r="L379" s="0" t="str">
        <f aca="false">HYPERLINK("https://www.ncbi.nlm.nih.gov/snp/rs61995954", "rs61995954")</f>
        <v>rs61995954</v>
      </c>
      <c r="M379" s="0" t="str">
        <f aca="false">HYPERLINK("https://www.genecards.org/Search/Keyword?queryString=%5Baliases%5D(%20BOD1L1%20)&amp;keywords=BOD1L1", "BOD1L1")</f>
        <v>BOD1L1</v>
      </c>
      <c r="N379" s="0" t="s">
        <v>98</v>
      </c>
      <c r="O379" s="0" t="s">
        <v>99</v>
      </c>
      <c r="P379" s="0" t="s">
        <v>2121</v>
      </c>
      <c r="Q379" s="0" t="n">
        <v>0.0239</v>
      </c>
      <c r="R379" s="0" t="n">
        <v>0.0128</v>
      </c>
      <c r="S379" s="0" t="n">
        <v>0.0106</v>
      </c>
      <c r="T379" s="0" t="n">
        <v>-1</v>
      </c>
      <c r="U379" s="0" t="n">
        <v>0.0192</v>
      </c>
      <c r="V379" s="0" t="s">
        <v>148</v>
      </c>
      <c r="W379" s="0" t="s">
        <v>46</v>
      </c>
      <c r="X379" s="0" t="s">
        <v>46</v>
      </c>
      <c r="Y379" s="0" t="s">
        <v>46</v>
      </c>
      <c r="Z379" s="0" t="s">
        <v>138</v>
      </c>
      <c r="AA379" s="0" t="s">
        <v>127</v>
      </c>
      <c r="AB379" s="0" t="s">
        <v>46</v>
      </c>
      <c r="AC379" s="0" t="s">
        <v>51</v>
      </c>
      <c r="AD379" s="0" t="s">
        <v>52</v>
      </c>
      <c r="AE379" s="0" t="s">
        <v>2122</v>
      </c>
      <c r="AF379" s="0" t="s">
        <v>2123</v>
      </c>
      <c r="AG379" s="0" t="s">
        <v>2124</v>
      </c>
      <c r="AH379" s="0" t="s">
        <v>46</v>
      </c>
      <c r="AI379" s="0" t="s">
        <v>46</v>
      </c>
      <c r="AJ379" s="0" t="s">
        <v>46</v>
      </c>
      <c r="AK379" s="0" t="s">
        <v>46</v>
      </c>
      <c r="AL379" s="0" t="s">
        <v>46</v>
      </c>
    </row>
    <row r="380" customFormat="false" ht="15" hidden="false" customHeight="false" outlineLevel="0" collapsed="false">
      <c r="B380" s="0" t="str">
        <f aca="false">HYPERLINK("https://genome.ucsc.edu/cgi-bin/hgTracks?db=hg19&amp;position=chr7%3A48278867%2D48278867", "chr7:48278867")</f>
        <v>chr7:48278867</v>
      </c>
      <c r="C380" s="0" t="s">
        <v>253</v>
      </c>
      <c r="D380" s="0" t="n">
        <v>48278867</v>
      </c>
      <c r="E380" s="0" t="n">
        <v>48278867</v>
      </c>
      <c r="F380" s="0" t="s">
        <v>69</v>
      </c>
      <c r="G380" s="0" t="s">
        <v>40</v>
      </c>
      <c r="H380" s="0" t="s">
        <v>2125</v>
      </c>
      <c r="I380" s="0" t="s">
        <v>348</v>
      </c>
      <c r="J380" s="0" t="s">
        <v>2126</v>
      </c>
      <c r="K380" s="0" t="s">
        <v>46</v>
      </c>
      <c r="L380" s="0" t="str">
        <f aca="false">HYPERLINK("https://www.ncbi.nlm.nih.gov/snp/rs144218923", "rs144218923")</f>
        <v>rs144218923</v>
      </c>
      <c r="M380" s="0" t="str">
        <f aca="false">HYPERLINK("https://www.genecards.org/Search/Keyword?queryString=%5Baliases%5D(%20ABCA13%20)&amp;keywords=ABCA13", "ABCA13")</f>
        <v>ABCA13</v>
      </c>
      <c r="N380" s="0" t="s">
        <v>98</v>
      </c>
      <c r="O380" s="0" t="s">
        <v>99</v>
      </c>
      <c r="P380" s="0" t="s">
        <v>2127</v>
      </c>
      <c r="Q380" s="0" t="n">
        <v>0.003</v>
      </c>
      <c r="R380" s="0" t="n">
        <v>0.0012</v>
      </c>
      <c r="S380" s="0" t="n">
        <v>0.0013</v>
      </c>
      <c r="T380" s="0" t="n">
        <v>-1</v>
      </c>
      <c r="U380" s="0" t="n">
        <v>0.0007</v>
      </c>
      <c r="V380" s="0" t="s">
        <v>170</v>
      </c>
      <c r="W380" s="0" t="s">
        <v>46</v>
      </c>
      <c r="X380" s="0" t="s">
        <v>46</v>
      </c>
      <c r="Y380" s="0" t="s">
        <v>46</v>
      </c>
      <c r="Z380" s="0" t="s">
        <v>138</v>
      </c>
      <c r="AA380" s="0" t="s">
        <v>127</v>
      </c>
      <c r="AB380" s="0" t="s">
        <v>46</v>
      </c>
      <c r="AC380" s="0" t="s">
        <v>51</v>
      </c>
      <c r="AD380" s="0" t="s">
        <v>52</v>
      </c>
      <c r="AE380" s="0" t="s">
        <v>2128</v>
      </c>
      <c r="AF380" s="0" t="s">
        <v>2129</v>
      </c>
      <c r="AG380" s="0" t="s">
        <v>46</v>
      </c>
      <c r="AH380" s="0" t="s">
        <v>46</v>
      </c>
      <c r="AI380" s="0" t="s">
        <v>46</v>
      </c>
      <c r="AJ380" s="0" t="s">
        <v>46</v>
      </c>
      <c r="AK380" s="0" t="s">
        <v>46</v>
      </c>
      <c r="AL380" s="0" t="s">
        <v>46</v>
      </c>
    </row>
    <row r="381" customFormat="false" ht="15" hidden="false" customHeight="false" outlineLevel="0" collapsed="false">
      <c r="B381" s="0" t="str">
        <f aca="false">HYPERLINK("https://genome.ucsc.edu/cgi-bin/hgTracks?db=hg19&amp;position=chr3%3A170811629%2D170811629", "chr3:170811629")</f>
        <v>chr3:170811629</v>
      </c>
      <c r="C381" s="0" t="s">
        <v>309</v>
      </c>
      <c r="D381" s="0" t="n">
        <v>170811629</v>
      </c>
      <c r="E381" s="0" t="n">
        <v>170811629</v>
      </c>
      <c r="F381" s="0" t="s">
        <v>40</v>
      </c>
      <c r="G381" s="0" t="s">
        <v>69</v>
      </c>
      <c r="H381" s="0" t="s">
        <v>2130</v>
      </c>
      <c r="I381" s="0" t="s">
        <v>288</v>
      </c>
      <c r="J381" s="0" t="s">
        <v>2131</v>
      </c>
      <c r="K381" s="0" t="s">
        <v>46</v>
      </c>
      <c r="L381" s="0" t="str">
        <f aca="false">HYPERLINK("https://www.ncbi.nlm.nih.gov/snp/rs192746498", "rs192746498")</f>
        <v>rs192746498</v>
      </c>
      <c r="M381" s="0" t="str">
        <f aca="false">HYPERLINK("https://www.genecards.org/Search/Keyword?queryString=%5Baliases%5D(%20TNIK%20)&amp;keywords=TNIK", "TNIK")</f>
        <v>TNIK</v>
      </c>
      <c r="N381" s="0" t="s">
        <v>98</v>
      </c>
      <c r="O381" s="0" t="s">
        <v>99</v>
      </c>
      <c r="P381" s="0" t="s">
        <v>2132</v>
      </c>
      <c r="Q381" s="0" t="n">
        <v>0.007</v>
      </c>
      <c r="R381" s="0" t="n">
        <v>0.0053</v>
      </c>
      <c r="S381" s="0" t="n">
        <v>0.0062</v>
      </c>
      <c r="T381" s="0" t="n">
        <v>-1</v>
      </c>
      <c r="U381" s="0" t="n">
        <v>0.0063</v>
      </c>
      <c r="V381" s="0" t="s">
        <v>194</v>
      </c>
      <c r="W381" s="0" t="s">
        <v>999</v>
      </c>
      <c r="X381" s="0" t="s">
        <v>46</v>
      </c>
      <c r="Y381" s="0" t="s">
        <v>46</v>
      </c>
      <c r="Z381" s="0" t="s">
        <v>231</v>
      </c>
      <c r="AA381" s="0" t="s">
        <v>115</v>
      </c>
      <c r="AB381" s="0" t="s">
        <v>266</v>
      </c>
      <c r="AC381" s="0" t="s">
        <v>51</v>
      </c>
      <c r="AD381" s="0" t="s">
        <v>52</v>
      </c>
      <c r="AE381" s="0" t="s">
        <v>2133</v>
      </c>
      <c r="AF381" s="0" t="s">
        <v>2134</v>
      </c>
      <c r="AG381" s="0" t="s">
        <v>2135</v>
      </c>
      <c r="AH381" s="0" t="s">
        <v>46</v>
      </c>
      <c r="AI381" s="0" t="s">
        <v>46</v>
      </c>
      <c r="AJ381" s="0" t="s">
        <v>46</v>
      </c>
      <c r="AK381" s="0" t="s">
        <v>46</v>
      </c>
      <c r="AL381" s="0" t="s">
        <v>46</v>
      </c>
    </row>
    <row r="382" customFormat="false" ht="15" hidden="false" customHeight="false" outlineLevel="0" collapsed="false">
      <c r="B382" s="0" t="str">
        <f aca="false">HYPERLINK("https://genome.ucsc.edu/cgi-bin/hgTracks?db=hg19&amp;position=chr16%3A15808876%2D15808876", "chr16:15808876")</f>
        <v>chr16:15808876</v>
      </c>
      <c r="C382" s="0" t="s">
        <v>271</v>
      </c>
      <c r="D382" s="0" t="n">
        <v>15808876</v>
      </c>
      <c r="E382" s="0" t="n">
        <v>15808876</v>
      </c>
      <c r="F382" s="0" t="s">
        <v>39</v>
      </c>
      <c r="G382" s="0" t="s">
        <v>69</v>
      </c>
      <c r="H382" s="0" t="s">
        <v>2136</v>
      </c>
      <c r="I382" s="0" t="s">
        <v>393</v>
      </c>
      <c r="J382" s="0" t="s">
        <v>394</v>
      </c>
      <c r="K382" s="0" t="s">
        <v>46</v>
      </c>
      <c r="L382" s="0" t="str">
        <f aca="false">HYPERLINK("https://www.ncbi.nlm.nih.gov/snp/rs113964173", "rs113964173")</f>
        <v>rs113964173</v>
      </c>
      <c r="M382" s="0" t="str">
        <f aca="false">HYPERLINK("https://www.genecards.org/Search/Keyword?queryString=%5Baliases%5D(%20MYH11%20)&amp;keywords=MYH11", "MYH11")</f>
        <v>MYH11</v>
      </c>
      <c r="N382" s="0" t="s">
        <v>98</v>
      </c>
      <c r="O382" s="0" t="s">
        <v>99</v>
      </c>
      <c r="P382" s="0" t="s">
        <v>2137</v>
      </c>
      <c r="Q382" s="0" t="n">
        <v>0.025862</v>
      </c>
      <c r="R382" s="0" t="n">
        <v>0.0099</v>
      </c>
      <c r="S382" s="0" t="n">
        <v>0.009</v>
      </c>
      <c r="T382" s="0" t="n">
        <v>-1</v>
      </c>
      <c r="U382" s="0" t="n">
        <v>0.0081</v>
      </c>
      <c r="V382" s="0" t="s">
        <v>323</v>
      </c>
      <c r="W382" s="0" t="s">
        <v>46</v>
      </c>
      <c r="X382" s="0" t="s">
        <v>46</v>
      </c>
      <c r="Y382" s="0" t="s">
        <v>46</v>
      </c>
      <c r="Z382" s="0" t="s">
        <v>159</v>
      </c>
      <c r="AA382" s="0" t="s">
        <v>115</v>
      </c>
      <c r="AB382" s="0" t="s">
        <v>50</v>
      </c>
      <c r="AC382" s="0" t="s">
        <v>51</v>
      </c>
      <c r="AD382" s="0" t="s">
        <v>52</v>
      </c>
      <c r="AE382" s="0" t="s">
        <v>2138</v>
      </c>
      <c r="AF382" s="0" t="s">
        <v>2139</v>
      </c>
      <c r="AG382" s="0" t="s">
        <v>2140</v>
      </c>
      <c r="AH382" s="0" t="s">
        <v>2141</v>
      </c>
      <c r="AI382" s="0" t="s">
        <v>46</v>
      </c>
      <c r="AJ382" s="0" t="s">
        <v>46</v>
      </c>
      <c r="AK382" s="0" t="s">
        <v>46</v>
      </c>
      <c r="AL382" s="0" t="s">
        <v>46</v>
      </c>
    </row>
    <row r="383" customFormat="false" ht="15" hidden="false" customHeight="false" outlineLevel="0" collapsed="false">
      <c r="B383" s="0" t="str">
        <f aca="false">HYPERLINK("https://genome.ucsc.edu/cgi-bin/hgTracks?db=hg19&amp;position=chr2%3A233350938%2D233350938", "chr2:233350938")</f>
        <v>chr2:233350938</v>
      </c>
      <c r="C383" s="0" t="s">
        <v>93</v>
      </c>
      <c r="D383" s="0" t="n">
        <v>233350938</v>
      </c>
      <c r="E383" s="0" t="n">
        <v>233350938</v>
      </c>
      <c r="F383" s="0" t="s">
        <v>69</v>
      </c>
      <c r="G383" s="0" t="s">
        <v>40</v>
      </c>
      <c r="H383" s="0" t="s">
        <v>2115</v>
      </c>
      <c r="I383" s="0" t="s">
        <v>1103</v>
      </c>
      <c r="J383" s="0" t="s">
        <v>2142</v>
      </c>
      <c r="K383" s="0" t="s">
        <v>46</v>
      </c>
      <c r="L383" s="0" t="str">
        <f aca="false">HYPERLINK("https://www.ncbi.nlm.nih.gov/snp/rs144928688", "rs144928688")</f>
        <v>rs144928688</v>
      </c>
      <c r="M383" s="0" t="str">
        <f aca="false">HYPERLINK("https://www.genecards.org/Search/Keyword?queryString=%5Baliases%5D(%20ECEL1%20)&amp;keywords=ECEL1", "ECEL1")</f>
        <v>ECEL1</v>
      </c>
      <c r="N383" s="0" t="s">
        <v>98</v>
      </c>
      <c r="O383" s="0" t="s">
        <v>99</v>
      </c>
      <c r="P383" s="0" t="s">
        <v>2143</v>
      </c>
      <c r="Q383" s="0" t="n">
        <v>0.0202</v>
      </c>
      <c r="R383" s="0" t="n">
        <v>0.0106</v>
      </c>
      <c r="S383" s="0" t="n">
        <v>0.0101</v>
      </c>
      <c r="T383" s="0" t="n">
        <v>-1</v>
      </c>
      <c r="U383" s="0" t="n">
        <v>0.0085</v>
      </c>
      <c r="V383" s="0" t="s">
        <v>148</v>
      </c>
      <c r="W383" s="0" t="s">
        <v>46</v>
      </c>
      <c r="X383" s="0" t="s">
        <v>46</v>
      </c>
      <c r="Y383" s="0" t="s">
        <v>46</v>
      </c>
      <c r="Z383" s="0" t="s">
        <v>159</v>
      </c>
      <c r="AA383" s="0" t="s">
        <v>115</v>
      </c>
      <c r="AB383" s="0" t="s">
        <v>115</v>
      </c>
      <c r="AC383" s="0" t="s">
        <v>51</v>
      </c>
      <c r="AD383" s="0" t="s">
        <v>52</v>
      </c>
      <c r="AE383" s="0" t="s">
        <v>2144</v>
      </c>
      <c r="AF383" s="0" t="s">
        <v>2145</v>
      </c>
      <c r="AG383" s="0" t="s">
        <v>2146</v>
      </c>
      <c r="AH383" s="0" t="s">
        <v>2147</v>
      </c>
      <c r="AI383" s="0" t="s">
        <v>46</v>
      </c>
      <c r="AJ383" s="0" t="s">
        <v>46</v>
      </c>
      <c r="AK383" s="0" t="s">
        <v>46</v>
      </c>
      <c r="AL383" s="0" t="s">
        <v>46</v>
      </c>
    </row>
    <row r="384" customFormat="false" ht="15" hidden="false" customHeight="false" outlineLevel="0" collapsed="false">
      <c r="B384" s="0" t="str">
        <f aca="false">HYPERLINK("https://genome.ucsc.edu/cgi-bin/hgTracks?db=hg19&amp;position=chr11%3A60899932%2D60899932", "chr11:60899932")</f>
        <v>chr11:60899932</v>
      </c>
      <c r="C384" s="0" t="s">
        <v>38</v>
      </c>
      <c r="D384" s="0" t="n">
        <v>60899932</v>
      </c>
      <c r="E384" s="0" t="n">
        <v>60899932</v>
      </c>
      <c r="F384" s="0" t="s">
        <v>69</v>
      </c>
      <c r="G384" s="0" t="s">
        <v>57</v>
      </c>
      <c r="H384" s="0" t="s">
        <v>2148</v>
      </c>
      <c r="I384" s="0" t="s">
        <v>1278</v>
      </c>
      <c r="J384" s="0" t="s">
        <v>2149</v>
      </c>
      <c r="K384" s="0" t="s">
        <v>46</v>
      </c>
      <c r="L384" s="0" t="str">
        <f aca="false">HYPERLINK("https://www.ncbi.nlm.nih.gov/snp/rs117231827", "rs117231827")</f>
        <v>rs117231827</v>
      </c>
      <c r="M384" s="0" t="str">
        <f aca="false">HYPERLINK("https://www.genecards.org/Search/Keyword?queryString=%5Baliases%5D(%20VPS37C%20)&amp;keywords=VPS37C", "VPS37C")</f>
        <v>VPS37C</v>
      </c>
      <c r="N384" s="0" t="s">
        <v>98</v>
      </c>
      <c r="O384" s="0" t="s">
        <v>99</v>
      </c>
      <c r="P384" s="0" t="s">
        <v>2150</v>
      </c>
      <c r="Q384" s="0" t="n">
        <v>0.015244</v>
      </c>
      <c r="R384" s="0" t="n">
        <v>0.0124</v>
      </c>
      <c r="S384" s="0" t="n">
        <v>0.0144</v>
      </c>
      <c r="T384" s="0" t="n">
        <v>-1</v>
      </c>
      <c r="U384" s="0" t="n">
        <v>0.0116</v>
      </c>
      <c r="V384" s="0" t="s">
        <v>314</v>
      </c>
      <c r="W384" s="0" t="s">
        <v>46</v>
      </c>
      <c r="X384" s="0" t="s">
        <v>46</v>
      </c>
      <c r="Y384" s="0" t="s">
        <v>46</v>
      </c>
      <c r="Z384" s="0" t="s">
        <v>159</v>
      </c>
      <c r="AA384" s="0" t="s">
        <v>115</v>
      </c>
      <c r="AB384" s="0" t="s">
        <v>46</v>
      </c>
      <c r="AC384" s="0" t="s">
        <v>51</v>
      </c>
      <c r="AD384" s="0" t="s">
        <v>52</v>
      </c>
      <c r="AE384" s="0" t="s">
        <v>2151</v>
      </c>
      <c r="AF384" s="0" t="s">
        <v>2152</v>
      </c>
      <c r="AG384" s="0" t="s">
        <v>2153</v>
      </c>
      <c r="AH384" s="0" t="s">
        <v>46</v>
      </c>
      <c r="AI384" s="0" t="s">
        <v>46</v>
      </c>
      <c r="AJ384" s="0" t="s">
        <v>46</v>
      </c>
      <c r="AK384" s="0" t="s">
        <v>46</v>
      </c>
      <c r="AL384" s="0" t="s">
        <v>46</v>
      </c>
    </row>
    <row r="385" customFormat="false" ht="15" hidden="false" customHeight="false" outlineLevel="0" collapsed="false">
      <c r="B385" s="0" t="str">
        <f aca="false">HYPERLINK("https://genome.ucsc.edu/cgi-bin/hgTracks?db=hg19&amp;position=chr13%3A31729776%2D31729776", "chr13:31729776")</f>
        <v>chr13:31729776</v>
      </c>
      <c r="C385" s="0" t="s">
        <v>176</v>
      </c>
      <c r="D385" s="0" t="n">
        <v>31729776</v>
      </c>
      <c r="E385" s="0" t="n">
        <v>31729776</v>
      </c>
      <c r="F385" s="0" t="s">
        <v>40</v>
      </c>
      <c r="G385" s="0" t="s">
        <v>69</v>
      </c>
      <c r="H385" s="0" t="s">
        <v>1795</v>
      </c>
      <c r="I385" s="0" t="s">
        <v>413</v>
      </c>
      <c r="J385" s="0" t="s">
        <v>2154</v>
      </c>
      <c r="K385" s="0" t="s">
        <v>46</v>
      </c>
      <c r="L385" s="0" t="str">
        <f aca="false">HYPERLINK("https://www.ncbi.nlm.nih.gov/snp/rs41292149", "rs41292149")</f>
        <v>rs41292149</v>
      </c>
      <c r="M385" s="0" t="str">
        <f aca="false">HYPERLINK("https://www.genecards.org/Search/Keyword?queryString=%5Baliases%5D(%20HSPH1%20)&amp;keywords=HSPH1", "HSPH1")</f>
        <v>HSPH1</v>
      </c>
      <c r="N385" s="0" t="s">
        <v>98</v>
      </c>
      <c r="O385" s="0" t="s">
        <v>99</v>
      </c>
      <c r="P385" s="0" t="s">
        <v>2155</v>
      </c>
      <c r="Q385" s="0" t="n">
        <v>0.023</v>
      </c>
      <c r="R385" s="0" t="n">
        <v>0.0167</v>
      </c>
      <c r="S385" s="0" t="n">
        <v>0.0162</v>
      </c>
      <c r="T385" s="0" t="n">
        <v>-1</v>
      </c>
      <c r="U385" s="0" t="n">
        <v>0.0179</v>
      </c>
      <c r="V385" s="0" t="s">
        <v>148</v>
      </c>
      <c r="W385" s="0" t="s">
        <v>46</v>
      </c>
      <c r="X385" s="0" t="s">
        <v>46</v>
      </c>
      <c r="Y385" s="0" t="s">
        <v>46</v>
      </c>
      <c r="Z385" s="0" t="s">
        <v>481</v>
      </c>
      <c r="AA385" s="0" t="s">
        <v>115</v>
      </c>
      <c r="AB385" s="0" t="s">
        <v>46</v>
      </c>
      <c r="AC385" s="0" t="s">
        <v>51</v>
      </c>
      <c r="AD385" s="0" t="s">
        <v>52</v>
      </c>
      <c r="AE385" s="0" t="s">
        <v>2156</v>
      </c>
      <c r="AF385" s="0" t="s">
        <v>2157</v>
      </c>
      <c r="AG385" s="0" t="s">
        <v>2158</v>
      </c>
      <c r="AH385" s="0" t="s">
        <v>46</v>
      </c>
      <c r="AI385" s="0" t="s">
        <v>46</v>
      </c>
      <c r="AJ385" s="0" t="s">
        <v>46</v>
      </c>
      <c r="AK385" s="0" t="s">
        <v>46</v>
      </c>
      <c r="AL385" s="0" t="s">
        <v>46</v>
      </c>
    </row>
    <row r="386" customFormat="false" ht="15" hidden="false" customHeight="false" outlineLevel="0" collapsed="false">
      <c r="B386" s="0" t="str">
        <f aca="false">HYPERLINK("https://genome.ucsc.edu/cgi-bin/hgTracks?db=hg19&amp;position=chr17%3A74018597%2D74018597", "chr17:74018597")</f>
        <v>chr17:74018597</v>
      </c>
      <c r="C386" s="0" t="s">
        <v>279</v>
      </c>
      <c r="D386" s="0" t="n">
        <v>74018597</v>
      </c>
      <c r="E386" s="0" t="n">
        <v>74018597</v>
      </c>
      <c r="F386" s="0" t="s">
        <v>40</v>
      </c>
      <c r="G386" s="0" t="s">
        <v>39</v>
      </c>
      <c r="H386" s="0" t="s">
        <v>2159</v>
      </c>
      <c r="I386" s="0" t="s">
        <v>95</v>
      </c>
      <c r="J386" s="0" t="s">
        <v>2160</v>
      </c>
      <c r="K386" s="0" t="s">
        <v>46</v>
      </c>
      <c r="L386" s="0" t="str">
        <f aca="false">HYPERLINK("https://www.ncbi.nlm.nih.gov/snp/rs10445216", "rs10445216")</f>
        <v>rs10445216</v>
      </c>
      <c r="M386" s="0" t="str">
        <f aca="false">HYPERLINK("https://www.genecards.org/Search/Keyword?queryString=%5Baliases%5D(%20EVPL%20)&amp;keywords=EVPL", "EVPL")</f>
        <v>EVPL</v>
      </c>
      <c r="N386" s="0" t="s">
        <v>98</v>
      </c>
      <c r="O386" s="0" t="s">
        <v>99</v>
      </c>
      <c r="P386" s="0" t="s">
        <v>2161</v>
      </c>
      <c r="Q386" s="0" t="n">
        <v>0.0249</v>
      </c>
      <c r="R386" s="0" t="n">
        <v>0.0213</v>
      </c>
      <c r="S386" s="0" t="n">
        <v>0.0219</v>
      </c>
      <c r="T386" s="0" t="n">
        <v>-1</v>
      </c>
      <c r="U386" s="0" t="n">
        <v>0.0163</v>
      </c>
      <c r="V386" s="0" t="s">
        <v>126</v>
      </c>
      <c r="W386" s="0" t="s">
        <v>46</v>
      </c>
      <c r="X386" s="0" t="s">
        <v>46</v>
      </c>
      <c r="Y386" s="0" t="s">
        <v>46</v>
      </c>
      <c r="Z386" s="0" t="s">
        <v>49</v>
      </c>
      <c r="AA386" s="0" t="s">
        <v>115</v>
      </c>
      <c r="AB386" s="0" t="s">
        <v>46</v>
      </c>
      <c r="AC386" s="0" t="s">
        <v>51</v>
      </c>
      <c r="AD386" s="0" t="s">
        <v>856</v>
      </c>
      <c r="AE386" s="0" t="s">
        <v>2162</v>
      </c>
      <c r="AF386" s="0" t="s">
        <v>2163</v>
      </c>
      <c r="AG386" s="0" t="s">
        <v>2164</v>
      </c>
      <c r="AH386" s="0" t="s">
        <v>46</v>
      </c>
      <c r="AI386" s="0" t="s">
        <v>46</v>
      </c>
      <c r="AJ386" s="0" t="s">
        <v>46</v>
      </c>
      <c r="AK386" s="0" t="s">
        <v>46</v>
      </c>
      <c r="AL386" s="0" t="s">
        <v>46</v>
      </c>
    </row>
    <row r="387" customFormat="false" ht="15" hidden="false" customHeight="false" outlineLevel="0" collapsed="false">
      <c r="B387" s="0" t="str">
        <f aca="false">HYPERLINK("https://genome.ucsc.edu/cgi-bin/hgTracks?db=hg19&amp;position=chr17%3A74019453%2D74019453", "chr17:74019453")</f>
        <v>chr17:74019453</v>
      </c>
      <c r="C387" s="0" t="s">
        <v>279</v>
      </c>
      <c r="D387" s="0" t="n">
        <v>74019453</v>
      </c>
      <c r="E387" s="0" t="n">
        <v>74019453</v>
      </c>
      <c r="F387" s="0" t="s">
        <v>69</v>
      </c>
      <c r="G387" s="0" t="s">
        <v>57</v>
      </c>
      <c r="H387" s="0" t="s">
        <v>2165</v>
      </c>
      <c r="I387" s="0" t="s">
        <v>975</v>
      </c>
      <c r="J387" s="0" t="s">
        <v>2166</v>
      </c>
      <c r="K387" s="0" t="s">
        <v>46</v>
      </c>
      <c r="L387" s="0" t="str">
        <f aca="false">HYPERLINK("https://www.ncbi.nlm.nih.gov/snp/rs150149800", "rs150149800")</f>
        <v>rs150149800</v>
      </c>
      <c r="M387" s="0" t="str">
        <f aca="false">HYPERLINK("https://www.genecards.org/Search/Keyword?queryString=%5Baliases%5D(%20EVPL%20)&amp;keywords=EVPL", "EVPL")</f>
        <v>EVPL</v>
      </c>
      <c r="N387" s="0" t="s">
        <v>98</v>
      </c>
      <c r="O387" s="0" t="s">
        <v>99</v>
      </c>
      <c r="P387" s="0" t="s">
        <v>2167</v>
      </c>
      <c r="Q387" s="0" t="n">
        <v>0.0249</v>
      </c>
      <c r="R387" s="0" t="n">
        <v>0.0212</v>
      </c>
      <c r="S387" s="0" t="n">
        <v>0.0218</v>
      </c>
      <c r="T387" s="0" t="n">
        <v>-1</v>
      </c>
      <c r="U387" s="0" t="n">
        <v>0.0164</v>
      </c>
      <c r="V387" s="0" t="s">
        <v>323</v>
      </c>
      <c r="W387" s="0" t="s">
        <v>46</v>
      </c>
      <c r="X387" s="0" t="s">
        <v>46</v>
      </c>
      <c r="Y387" s="0" t="s">
        <v>46</v>
      </c>
      <c r="Z387" s="0" t="s">
        <v>138</v>
      </c>
      <c r="AA387" s="0" t="s">
        <v>115</v>
      </c>
      <c r="AB387" s="0" t="s">
        <v>46</v>
      </c>
      <c r="AC387" s="0" t="s">
        <v>51</v>
      </c>
      <c r="AD387" s="0" t="s">
        <v>856</v>
      </c>
      <c r="AE387" s="0" t="s">
        <v>2162</v>
      </c>
      <c r="AF387" s="0" t="s">
        <v>2163</v>
      </c>
      <c r="AG387" s="0" t="s">
        <v>2164</v>
      </c>
      <c r="AH387" s="0" t="s">
        <v>46</v>
      </c>
      <c r="AI387" s="0" t="s">
        <v>46</v>
      </c>
      <c r="AJ387" s="0" t="s">
        <v>46</v>
      </c>
      <c r="AK387" s="0" t="s">
        <v>46</v>
      </c>
      <c r="AL387" s="0" t="s">
        <v>609</v>
      </c>
    </row>
    <row r="388" customFormat="false" ht="15" hidden="false" customHeight="false" outlineLevel="0" collapsed="false">
      <c r="B388" s="0" t="str">
        <f aca="false">HYPERLINK("https://genome.ucsc.edu/cgi-bin/hgTracks?db=hg19&amp;position=chr20%3A57597954%2D57597954", "chr20:57597954")</f>
        <v>chr20:57597954</v>
      </c>
      <c r="C388" s="0" t="s">
        <v>188</v>
      </c>
      <c r="D388" s="0" t="n">
        <v>57597954</v>
      </c>
      <c r="E388" s="0" t="n">
        <v>57597954</v>
      </c>
      <c r="F388" s="0" t="s">
        <v>69</v>
      </c>
      <c r="G388" s="0" t="s">
        <v>57</v>
      </c>
      <c r="H388" s="0" t="s">
        <v>2168</v>
      </c>
      <c r="I388" s="0" t="s">
        <v>1121</v>
      </c>
      <c r="J388" s="0" t="s">
        <v>2169</v>
      </c>
      <c r="K388" s="0" t="s">
        <v>46</v>
      </c>
      <c r="L388" s="0" t="str">
        <f aca="false">HYPERLINK("https://www.ncbi.nlm.nih.gov/snp/rs144337011", "rs144337011")</f>
        <v>rs144337011</v>
      </c>
      <c r="M388" s="0" t="str">
        <f aca="false">HYPERLINK("https://www.genecards.org/Search/Keyword?queryString=%5Baliases%5D(%20TUBB1%20)&amp;keywords=TUBB1", "TUBB1")</f>
        <v>TUBB1</v>
      </c>
      <c r="N388" s="0" t="s">
        <v>98</v>
      </c>
      <c r="O388" s="0" t="s">
        <v>99</v>
      </c>
      <c r="P388" s="0" t="s">
        <v>2170</v>
      </c>
      <c r="Q388" s="0" t="n">
        <v>0.0154</v>
      </c>
      <c r="R388" s="0" t="n">
        <v>0.0158</v>
      </c>
      <c r="S388" s="0" t="n">
        <v>0.0154</v>
      </c>
      <c r="T388" s="0" t="n">
        <v>-1</v>
      </c>
      <c r="U388" s="0" t="n">
        <v>0.0164</v>
      </c>
      <c r="V388" s="0" t="s">
        <v>323</v>
      </c>
      <c r="W388" s="0" t="s">
        <v>46</v>
      </c>
      <c r="X388" s="0" t="s">
        <v>46</v>
      </c>
      <c r="Y388" s="0" t="s">
        <v>46</v>
      </c>
      <c r="Z388" s="0" t="s">
        <v>102</v>
      </c>
      <c r="AA388" s="0" t="s">
        <v>115</v>
      </c>
      <c r="AB388" s="0" t="s">
        <v>46</v>
      </c>
      <c r="AC388" s="0" t="s">
        <v>51</v>
      </c>
      <c r="AD388" s="0" t="s">
        <v>52</v>
      </c>
      <c r="AE388" s="0" t="s">
        <v>2171</v>
      </c>
      <c r="AF388" s="0" t="s">
        <v>2172</v>
      </c>
      <c r="AG388" s="0" t="s">
        <v>2173</v>
      </c>
      <c r="AH388" s="0" t="s">
        <v>2174</v>
      </c>
      <c r="AI388" s="0" t="s">
        <v>46</v>
      </c>
      <c r="AJ388" s="0" t="s">
        <v>46</v>
      </c>
      <c r="AK388" s="0" t="s">
        <v>46</v>
      </c>
      <c r="AL388" s="0" t="s">
        <v>46</v>
      </c>
    </row>
    <row r="389" customFormat="false" ht="15" hidden="false" customHeight="false" outlineLevel="0" collapsed="false">
      <c r="B389" s="0" t="str">
        <f aca="false">HYPERLINK("https://genome.ucsc.edu/cgi-bin/hgTracks?db=hg19&amp;position=chr1%3A230850251%2D230850251", "chr1:230850251")</f>
        <v>chr1:230850251</v>
      </c>
      <c r="C389" s="0" t="s">
        <v>56</v>
      </c>
      <c r="D389" s="0" t="n">
        <v>230850251</v>
      </c>
      <c r="E389" s="0" t="n">
        <v>230850251</v>
      </c>
      <c r="F389" s="0" t="s">
        <v>39</v>
      </c>
      <c r="G389" s="0" t="s">
        <v>40</v>
      </c>
      <c r="H389" s="0" t="s">
        <v>2175</v>
      </c>
      <c r="I389" s="0" t="s">
        <v>872</v>
      </c>
      <c r="J389" s="0" t="s">
        <v>2176</v>
      </c>
      <c r="K389" s="0" t="s">
        <v>46</v>
      </c>
      <c r="L389" s="0" t="str">
        <f aca="false">HYPERLINK("https://www.ncbi.nlm.nih.gov/snp/rs5047", "rs5047")</f>
        <v>rs5047</v>
      </c>
      <c r="M389" s="0" t="str">
        <f aca="false">HYPERLINK("https://www.genecards.org/Search/Keyword?queryString=%5Baliases%5D(%20AGT%20)&amp;keywords=AGT", "AGT")</f>
        <v>AGT</v>
      </c>
      <c r="N389" s="0" t="s">
        <v>2177</v>
      </c>
      <c r="O389" s="0" t="s">
        <v>46</v>
      </c>
      <c r="P389" s="0" t="s">
        <v>2178</v>
      </c>
      <c r="Q389" s="0" t="n">
        <v>0.0258</v>
      </c>
      <c r="R389" s="0" t="n">
        <v>0.0247</v>
      </c>
      <c r="S389" s="0" t="n">
        <v>0.022</v>
      </c>
      <c r="T389" s="0" t="n">
        <v>-1</v>
      </c>
      <c r="U389" s="0" t="n">
        <v>0.0343</v>
      </c>
      <c r="V389" s="0" t="s">
        <v>46</v>
      </c>
      <c r="W389" s="0" t="s">
        <v>46</v>
      </c>
      <c r="X389" s="0" t="s">
        <v>46</v>
      </c>
      <c r="Y389" s="0" t="s">
        <v>46</v>
      </c>
      <c r="Z389" s="0" t="s">
        <v>46</v>
      </c>
      <c r="AA389" s="0" t="s">
        <v>46</v>
      </c>
      <c r="AB389" s="0" t="s">
        <v>216</v>
      </c>
      <c r="AC389" s="0" t="s">
        <v>51</v>
      </c>
      <c r="AD389" s="0" t="s">
        <v>52</v>
      </c>
      <c r="AE389" s="0" t="s">
        <v>2179</v>
      </c>
      <c r="AF389" s="0" t="s">
        <v>2180</v>
      </c>
      <c r="AG389" s="0" t="s">
        <v>2181</v>
      </c>
      <c r="AH389" s="0" t="s">
        <v>2182</v>
      </c>
      <c r="AI389" s="0" t="s">
        <v>46</v>
      </c>
      <c r="AJ389" s="0" t="s">
        <v>46</v>
      </c>
      <c r="AK389" s="0" t="s">
        <v>46</v>
      </c>
      <c r="AL389" s="0" t="s">
        <v>46</v>
      </c>
    </row>
    <row r="390" customFormat="false" ht="15" hidden="false" customHeight="false" outlineLevel="0" collapsed="false">
      <c r="B390" s="0" t="str">
        <f aca="false">HYPERLINK("https://genome.ucsc.edu/cgi-bin/hgTracks?db=hg19&amp;position=chr15%3A99505822%2D99505822", "chr15:99505822")</f>
        <v>chr15:99505822</v>
      </c>
      <c r="C390" s="0" t="s">
        <v>81</v>
      </c>
      <c r="D390" s="0" t="n">
        <v>99505822</v>
      </c>
      <c r="E390" s="0" t="n">
        <v>99505822</v>
      </c>
      <c r="F390" s="0" t="s">
        <v>40</v>
      </c>
      <c r="G390" s="0" t="s">
        <v>39</v>
      </c>
      <c r="H390" s="0" t="s">
        <v>2183</v>
      </c>
      <c r="I390" s="0" t="s">
        <v>83</v>
      </c>
      <c r="J390" s="0" t="s">
        <v>2184</v>
      </c>
      <c r="K390" s="0" t="s">
        <v>46</v>
      </c>
      <c r="L390" s="0" t="str">
        <f aca="false">HYPERLINK("https://www.ncbi.nlm.nih.gov/snp/rs28393861", "rs28393861")</f>
        <v>rs28393861</v>
      </c>
      <c r="M390" s="0" t="str">
        <f aca="false">HYPERLINK("https://www.genecards.org/Search/Keyword?queryString=%5Baliases%5D(%20IGF1R%20)&amp;keywords=IGF1R", "IGF1R")</f>
        <v>IGF1R</v>
      </c>
      <c r="N390" s="0" t="s">
        <v>86</v>
      </c>
      <c r="O390" s="0" t="s">
        <v>46</v>
      </c>
      <c r="P390" s="0" t="s">
        <v>2185</v>
      </c>
      <c r="Q390" s="0" t="n">
        <v>0.025</v>
      </c>
      <c r="R390" s="0" t="n">
        <v>0.0226</v>
      </c>
      <c r="S390" s="0" t="n">
        <v>0.0225</v>
      </c>
      <c r="T390" s="0" t="n">
        <v>-1</v>
      </c>
      <c r="U390" s="0" t="n">
        <v>0.0234</v>
      </c>
      <c r="V390" s="0" t="s">
        <v>46</v>
      </c>
      <c r="W390" s="0" t="s">
        <v>46</v>
      </c>
      <c r="X390" s="0" t="s">
        <v>46</v>
      </c>
      <c r="Y390" s="0" t="s">
        <v>46</v>
      </c>
      <c r="Z390" s="0" t="s">
        <v>46</v>
      </c>
      <c r="AA390" s="0" t="s">
        <v>46</v>
      </c>
      <c r="AB390" s="0" t="s">
        <v>216</v>
      </c>
      <c r="AC390" s="0" t="s">
        <v>51</v>
      </c>
      <c r="AD390" s="0" t="s">
        <v>88</v>
      </c>
      <c r="AE390" s="0" t="s">
        <v>89</v>
      </c>
      <c r="AF390" s="0" t="s">
        <v>90</v>
      </c>
      <c r="AG390" s="0" t="s">
        <v>91</v>
      </c>
      <c r="AH390" s="0" t="s">
        <v>92</v>
      </c>
      <c r="AI390" s="0" t="s">
        <v>46</v>
      </c>
      <c r="AJ390" s="0" t="s">
        <v>46</v>
      </c>
      <c r="AK390" s="0" t="s">
        <v>46</v>
      </c>
      <c r="AL390" s="0" t="s">
        <v>46</v>
      </c>
    </row>
    <row r="391" customFormat="false" ht="15" hidden="false" customHeight="false" outlineLevel="0" collapsed="false">
      <c r="B391" s="0" t="str">
        <f aca="false">HYPERLINK("https://genome.ucsc.edu/cgi-bin/hgTracks?db=hg19&amp;position=chr19%3A55678060%2D55678060", "chr19:55678060")</f>
        <v>chr19:55678060</v>
      </c>
      <c r="C391" s="0" t="s">
        <v>1348</v>
      </c>
      <c r="D391" s="0" t="n">
        <v>55678060</v>
      </c>
      <c r="E391" s="0" t="n">
        <v>55678060</v>
      </c>
      <c r="F391" s="0" t="s">
        <v>69</v>
      </c>
      <c r="G391" s="0" t="s">
        <v>57</v>
      </c>
      <c r="H391" s="0" t="s">
        <v>2186</v>
      </c>
      <c r="I391" s="0" t="s">
        <v>535</v>
      </c>
      <c r="J391" s="0" t="s">
        <v>2187</v>
      </c>
      <c r="K391" s="0" t="s">
        <v>46</v>
      </c>
      <c r="L391" s="0" t="str">
        <f aca="false">HYPERLINK("https://www.ncbi.nlm.nih.gov/snp/rs73066642", "rs73066642")</f>
        <v>rs73066642</v>
      </c>
      <c r="M391" s="0" t="str">
        <f aca="false">HYPERLINK("https://www.genecards.org/Search/Keyword?queryString=%5Baliases%5D(%20AK097618%20)%20OR%20%5Baliases%5D(%20DNAAF3%20)&amp;keywords=AK097618,DNAAF3", "AK097618;DNAAF3")</f>
        <v>AK097618;DNAAF3</v>
      </c>
      <c r="N391" s="0" t="s">
        <v>2188</v>
      </c>
      <c r="O391" s="0" t="s">
        <v>46</v>
      </c>
      <c r="P391" s="0" t="s">
        <v>2189</v>
      </c>
      <c r="Q391" s="0" t="n">
        <v>0.0209</v>
      </c>
      <c r="R391" s="0" t="n">
        <v>0.0161</v>
      </c>
      <c r="S391" s="0" t="n">
        <v>0.0199</v>
      </c>
      <c r="T391" s="0" t="n">
        <v>-1</v>
      </c>
      <c r="U391" s="0" t="n">
        <v>0.0203</v>
      </c>
      <c r="V391" s="0" t="s">
        <v>46</v>
      </c>
      <c r="W391" s="0" t="s">
        <v>46</v>
      </c>
      <c r="X391" s="0" t="s">
        <v>63</v>
      </c>
      <c r="Y391" s="0" t="s">
        <v>64</v>
      </c>
      <c r="Z391" s="0" t="s">
        <v>46</v>
      </c>
      <c r="AA391" s="0" t="s">
        <v>46</v>
      </c>
      <c r="AB391" s="0" t="s">
        <v>216</v>
      </c>
      <c r="AC391" s="0" t="s">
        <v>51</v>
      </c>
      <c r="AD391" s="0" t="s">
        <v>1263</v>
      </c>
      <c r="AE391" s="0" t="s">
        <v>2190</v>
      </c>
      <c r="AF391" s="0" t="s">
        <v>2191</v>
      </c>
      <c r="AG391" s="0" t="s">
        <v>2192</v>
      </c>
      <c r="AH391" s="0" t="s">
        <v>2193</v>
      </c>
      <c r="AI391" s="0" t="s">
        <v>46</v>
      </c>
      <c r="AJ391" s="0" t="s">
        <v>46</v>
      </c>
      <c r="AK391" s="0" t="s">
        <v>46</v>
      </c>
      <c r="AL391" s="0" t="s">
        <v>46</v>
      </c>
    </row>
    <row r="392" customFormat="false" ht="15" hidden="false" customHeight="false" outlineLevel="0" collapsed="false">
      <c r="B392" s="0" t="str">
        <f aca="false">HYPERLINK("https://genome.ucsc.edu/cgi-bin/hgTracks?db=hg19&amp;position=chr22%3A41575884%2D41575884", "chr22:41575884")</f>
        <v>chr22:41575884</v>
      </c>
      <c r="C392" s="0" t="s">
        <v>391</v>
      </c>
      <c r="D392" s="0" t="n">
        <v>41575884</v>
      </c>
      <c r="E392" s="0" t="n">
        <v>41575884</v>
      </c>
      <c r="F392" s="0" t="s">
        <v>40</v>
      </c>
      <c r="G392" s="0" t="s">
        <v>57</v>
      </c>
      <c r="H392" s="0" t="s">
        <v>1291</v>
      </c>
      <c r="I392" s="0" t="s">
        <v>434</v>
      </c>
      <c r="J392" s="0" t="s">
        <v>1336</v>
      </c>
      <c r="K392" s="0" t="s">
        <v>46</v>
      </c>
      <c r="L392" s="0" t="str">
        <f aca="false">HYPERLINK("https://www.ncbi.nlm.nih.gov/snp/rs149250603", "rs149250603")</f>
        <v>rs149250603</v>
      </c>
      <c r="M392" s="0" t="str">
        <f aca="false">HYPERLINK("https://www.genecards.org/Search/Keyword?queryString=%5Baliases%5D(%20EP300%20)&amp;keywords=EP300", "EP300")</f>
        <v>EP300</v>
      </c>
      <c r="N392" s="0" t="s">
        <v>86</v>
      </c>
      <c r="O392" s="0" t="s">
        <v>46</v>
      </c>
      <c r="P392" s="0" t="s">
        <v>2194</v>
      </c>
      <c r="Q392" s="0" t="n">
        <v>0.0014984</v>
      </c>
      <c r="R392" s="0" t="n">
        <v>-1</v>
      </c>
      <c r="S392" s="0" t="n">
        <v>-1</v>
      </c>
      <c r="T392" s="0" t="n">
        <v>-1</v>
      </c>
      <c r="U392" s="0" t="n">
        <v>-1</v>
      </c>
      <c r="V392" s="0" t="s">
        <v>46</v>
      </c>
      <c r="W392" s="0" t="s">
        <v>46</v>
      </c>
      <c r="X392" s="0" t="s">
        <v>46</v>
      </c>
      <c r="Y392" s="0" t="s">
        <v>46</v>
      </c>
      <c r="Z392" s="0" t="s">
        <v>46</v>
      </c>
      <c r="AA392" s="0" t="s">
        <v>46</v>
      </c>
      <c r="AB392" s="0" t="s">
        <v>216</v>
      </c>
      <c r="AC392" s="0" t="s">
        <v>51</v>
      </c>
      <c r="AD392" s="0" t="s">
        <v>52</v>
      </c>
      <c r="AE392" s="0" t="s">
        <v>2195</v>
      </c>
      <c r="AF392" s="0" t="s">
        <v>2196</v>
      </c>
      <c r="AG392" s="0" t="s">
        <v>2197</v>
      </c>
      <c r="AH392" s="0" t="s">
        <v>2198</v>
      </c>
      <c r="AI392" s="0" t="s">
        <v>46</v>
      </c>
      <c r="AJ392" s="0" t="s">
        <v>46</v>
      </c>
      <c r="AK392" s="0" t="s">
        <v>46</v>
      </c>
      <c r="AL392" s="0" t="s">
        <v>46</v>
      </c>
    </row>
    <row r="393" customFormat="false" ht="15" hidden="false" customHeight="false" outlineLevel="0" collapsed="false">
      <c r="A393" s="2"/>
      <c r="B393" s="2" t="str">
        <f aca="false">HYPERLINK("https://genome.ucsc.edu/cgi-bin/hgTracks?db=hg19&amp;position=chr1%3A26135244%2D26135244", "chr1:26135244")</f>
        <v>chr1:26135244</v>
      </c>
      <c r="C393" s="2" t="s">
        <v>56</v>
      </c>
      <c r="D393" s="2" t="n">
        <v>26135244</v>
      </c>
      <c r="E393" s="2" t="n">
        <v>26135244</v>
      </c>
      <c r="F393" s="2" t="s">
        <v>200</v>
      </c>
      <c r="G393" s="2" t="s">
        <v>57</v>
      </c>
      <c r="H393" s="2" t="s">
        <v>2199</v>
      </c>
      <c r="I393" s="2" t="s">
        <v>896</v>
      </c>
      <c r="J393" s="2" t="s">
        <v>897</v>
      </c>
      <c r="K393" s="2" t="s">
        <v>46</v>
      </c>
      <c r="L393" s="2" t="str">
        <f aca="false">HYPERLINK("https://www.ncbi.nlm.nih.gov/snp/rs368104077", "rs368104077")</f>
        <v>rs368104077</v>
      </c>
      <c r="M393" s="2" t="str">
        <f aca="false">HYPERLINK("https://www.genecards.org/Search/Keyword?queryString=%5Baliases%5D(%20SELENON%20)%20OR%20%5Baliases%5D(%20SEPN1%20)&amp;keywords=SELENON,SEPN1", "SELENON;SEPN1")</f>
        <v>SELENON;SEPN1</v>
      </c>
      <c r="N393" s="2" t="s">
        <v>98</v>
      </c>
      <c r="O393" s="2" t="s">
        <v>2200</v>
      </c>
      <c r="P393" s="2" t="s">
        <v>2201</v>
      </c>
      <c r="Q393" s="2" t="n">
        <v>0.0034</v>
      </c>
      <c r="R393" s="2" t="n">
        <v>0.0025</v>
      </c>
      <c r="S393" s="2" t="n">
        <v>0.0018</v>
      </c>
      <c r="T393" s="2" t="n">
        <v>-1</v>
      </c>
      <c r="U393" s="2" t="n">
        <v>-1</v>
      </c>
      <c r="V393" s="2" t="s">
        <v>46</v>
      </c>
      <c r="W393" s="2" t="s">
        <v>46</v>
      </c>
      <c r="X393" s="2" t="s">
        <v>46</v>
      </c>
      <c r="Y393" s="2" t="s">
        <v>46</v>
      </c>
      <c r="Z393" s="2" t="s">
        <v>46</v>
      </c>
      <c r="AA393" s="2" t="s">
        <v>46</v>
      </c>
      <c r="AB393" s="2" t="s">
        <v>104</v>
      </c>
      <c r="AC393" s="2" t="s">
        <v>51</v>
      </c>
      <c r="AD393" s="2" t="s">
        <v>437</v>
      </c>
      <c r="AE393" s="2" t="s">
        <v>2202</v>
      </c>
      <c r="AF393" s="2" t="s">
        <v>2203</v>
      </c>
      <c r="AG393" s="2" t="s">
        <v>46</v>
      </c>
      <c r="AH393" s="2" t="s">
        <v>2204</v>
      </c>
      <c r="AI393" s="2" t="s">
        <v>46</v>
      </c>
      <c r="AJ393" s="2" t="s">
        <v>46</v>
      </c>
      <c r="AK393" s="2" t="s">
        <v>46</v>
      </c>
      <c r="AL393" s="2" t="s">
        <v>46</v>
      </c>
    </row>
    <row r="394" customFormat="false" ht="15" hidden="false" customHeight="false" outlineLevel="0" collapsed="false">
      <c r="A394" s="3"/>
      <c r="B394" s="3" t="str">
        <f aca="false">HYPERLINK("https://genome.ucsc.edu/cgi-bin/hgTracks?db=hg19&amp;position=chr3%3A148927954%2D148927954", "chr3:148927954")</f>
        <v>chr3:148927954</v>
      </c>
      <c r="C394" s="3" t="s">
        <v>309</v>
      </c>
      <c r="D394" s="3" t="n">
        <v>148927954</v>
      </c>
      <c r="E394" s="3" t="n">
        <v>148927954</v>
      </c>
      <c r="F394" s="3" t="s">
        <v>200</v>
      </c>
      <c r="G394" s="3" t="s">
        <v>40</v>
      </c>
      <c r="H394" s="3" t="s">
        <v>2205</v>
      </c>
      <c r="I394" s="3" t="s">
        <v>111</v>
      </c>
      <c r="J394" s="3" t="s">
        <v>907</v>
      </c>
      <c r="K394" s="3" t="s">
        <v>46</v>
      </c>
      <c r="L394" s="3" t="str">
        <f aca="false">HYPERLINK("https://www.ncbi.nlm.nih.gov/snp/rs386134143", "rs386134143")</f>
        <v>rs386134143</v>
      </c>
      <c r="M394" s="3" t="str">
        <f aca="false">HYPERLINK("https://www.genecards.org/Search/Keyword?queryString=%5Baliases%5D(%20CP%20)&amp;keywords=CP", "CP")</f>
        <v>CP</v>
      </c>
      <c r="N394" s="3" t="s">
        <v>98</v>
      </c>
      <c r="O394" s="3" t="s">
        <v>2206</v>
      </c>
      <c r="P394" s="3" t="s">
        <v>2207</v>
      </c>
      <c r="Q394" s="3" t="n">
        <v>2.59E-005</v>
      </c>
      <c r="R394" s="3" t="n">
        <v>-1</v>
      </c>
      <c r="S394" s="3" t="n">
        <v>-1</v>
      </c>
      <c r="T394" s="3" t="n">
        <v>-1</v>
      </c>
      <c r="U394" s="3" t="n">
        <v>-1</v>
      </c>
      <c r="V394" s="3" t="s">
        <v>46</v>
      </c>
      <c r="W394" s="3" t="s">
        <v>46</v>
      </c>
      <c r="X394" s="3" t="s">
        <v>46</v>
      </c>
      <c r="Y394" s="3" t="s">
        <v>46</v>
      </c>
      <c r="Z394" s="3" t="s">
        <v>46</v>
      </c>
      <c r="AA394" s="3" t="s">
        <v>46</v>
      </c>
      <c r="AB394" s="3" t="s">
        <v>104</v>
      </c>
      <c r="AC394" s="3" t="s">
        <v>51</v>
      </c>
      <c r="AD394" s="3" t="s">
        <v>52</v>
      </c>
      <c r="AE394" s="3" t="s">
        <v>2208</v>
      </c>
      <c r="AF394" s="3" t="s">
        <v>2209</v>
      </c>
      <c r="AG394" s="3" t="s">
        <v>2210</v>
      </c>
      <c r="AH394" s="3" t="s">
        <v>2211</v>
      </c>
      <c r="AI394" s="3" t="s">
        <v>46</v>
      </c>
      <c r="AJ394" s="3" t="s">
        <v>46</v>
      </c>
      <c r="AK394" s="3" t="s">
        <v>46</v>
      </c>
      <c r="AL394" s="3" t="s">
        <v>46</v>
      </c>
    </row>
    <row r="395" customFormat="false" ht="15" hidden="false" customHeight="false" outlineLevel="0" collapsed="false">
      <c r="B395" s="0" t="str">
        <f aca="false">HYPERLINK("https://genome.ucsc.edu/cgi-bin/hgTracks?db=hg19&amp;position=chrX%3A153008434%2D153008434", "chrX:153008434")</f>
        <v>chrX:153008434</v>
      </c>
      <c r="C395" s="0" t="s">
        <v>1962</v>
      </c>
      <c r="D395" s="0" t="n">
        <v>153008434</v>
      </c>
      <c r="E395" s="0" t="n">
        <v>153008434</v>
      </c>
      <c r="F395" s="0" t="s">
        <v>39</v>
      </c>
      <c r="G395" s="0" t="s">
        <v>40</v>
      </c>
      <c r="H395" s="0" t="s">
        <v>1102</v>
      </c>
      <c r="I395" s="0" t="s">
        <v>452</v>
      </c>
      <c r="J395" s="0" t="s">
        <v>2212</v>
      </c>
      <c r="K395" s="0" t="s">
        <v>46</v>
      </c>
      <c r="L395" s="0" t="str">
        <f aca="false">HYPERLINK("https://www.ncbi.nlm.nih.gov/snp/rs79915675", "rs79915675")</f>
        <v>rs79915675</v>
      </c>
      <c r="M395" s="0" t="str">
        <f aca="false">HYPERLINK("https://www.genecards.org/Search/Keyword?queryString=%5Baliases%5D(%20ABCD1%20)&amp;keywords=ABCD1", "ABCD1")</f>
        <v>ABCD1</v>
      </c>
      <c r="N395" s="0" t="s">
        <v>2213</v>
      </c>
      <c r="O395" s="0" t="s">
        <v>46</v>
      </c>
      <c r="P395" s="0" t="s">
        <v>46</v>
      </c>
      <c r="Q395" s="0" t="n">
        <v>0.023256</v>
      </c>
      <c r="R395" s="0" t="n">
        <v>-1</v>
      </c>
      <c r="S395" s="0" t="n">
        <v>-1</v>
      </c>
      <c r="T395" s="0" t="n">
        <v>-1</v>
      </c>
      <c r="U395" s="0" t="n">
        <v>-1</v>
      </c>
      <c r="V395" s="0" t="s">
        <v>46</v>
      </c>
      <c r="W395" s="0" t="s">
        <v>40</v>
      </c>
      <c r="X395" s="0" t="s">
        <v>63</v>
      </c>
      <c r="Y395" s="0" t="s">
        <v>2214</v>
      </c>
      <c r="Z395" s="0" t="s">
        <v>46</v>
      </c>
      <c r="AA395" s="0" t="s">
        <v>46</v>
      </c>
      <c r="AB395" s="0" t="s">
        <v>266</v>
      </c>
      <c r="AC395" s="0" t="s">
        <v>51</v>
      </c>
      <c r="AD395" s="0" t="s">
        <v>52</v>
      </c>
      <c r="AE395" s="0" t="s">
        <v>2215</v>
      </c>
      <c r="AF395" s="0" t="s">
        <v>2216</v>
      </c>
      <c r="AG395" s="0" t="s">
        <v>2217</v>
      </c>
      <c r="AH395" s="0" t="s">
        <v>2218</v>
      </c>
      <c r="AI395" s="0" t="s">
        <v>46</v>
      </c>
      <c r="AJ395" s="0" t="s">
        <v>46</v>
      </c>
      <c r="AK395" s="0" t="s">
        <v>46</v>
      </c>
      <c r="AL395" s="0" t="s">
        <v>584</v>
      </c>
    </row>
    <row r="396" customFormat="false" ht="15" hidden="false" customHeight="false" outlineLevel="0" collapsed="false">
      <c r="B396" s="0" t="str">
        <f aca="false">HYPERLINK("https://genome.ucsc.edu/cgi-bin/hgTracks?db=hg19&amp;position=chr19%3A55672151%2D55672151", "chr19:55672151")</f>
        <v>chr19:55672151</v>
      </c>
      <c r="C396" s="0" t="s">
        <v>1348</v>
      </c>
      <c r="D396" s="0" t="n">
        <v>55672151</v>
      </c>
      <c r="E396" s="0" t="n">
        <v>55672151</v>
      </c>
      <c r="F396" s="0" t="s">
        <v>40</v>
      </c>
      <c r="G396" s="0" t="s">
        <v>39</v>
      </c>
      <c r="H396" s="0" t="s">
        <v>2219</v>
      </c>
      <c r="I396" s="0" t="s">
        <v>348</v>
      </c>
      <c r="J396" s="0" t="s">
        <v>2220</v>
      </c>
      <c r="K396" s="0" t="s">
        <v>46</v>
      </c>
      <c r="L396" s="0" t="str">
        <f aca="false">HYPERLINK("https://www.ncbi.nlm.nih.gov/snp/rs71367156", "rs71367156")</f>
        <v>rs71367156</v>
      </c>
      <c r="M396" s="0" t="str">
        <f aca="false">HYPERLINK("https://www.genecards.org/Search/Keyword?queryString=%5Baliases%5D(%20AK097618%20)%20OR%20%5Baliases%5D(%20DNAAF3%20)&amp;keywords=AK097618,DNAAF3", "AK097618;DNAAF3")</f>
        <v>AK097618;DNAAF3</v>
      </c>
      <c r="N396" s="0" t="s">
        <v>2213</v>
      </c>
      <c r="O396" s="0" t="s">
        <v>46</v>
      </c>
      <c r="P396" s="0" t="s">
        <v>46</v>
      </c>
      <c r="Q396" s="0" t="n">
        <v>0.003284</v>
      </c>
      <c r="R396" s="0" t="n">
        <v>0.0017</v>
      </c>
      <c r="S396" s="0" t="n">
        <v>0.0019</v>
      </c>
      <c r="T396" s="0" t="n">
        <v>-1</v>
      </c>
      <c r="U396" s="0" t="n">
        <v>0.0041</v>
      </c>
      <c r="V396" s="0" t="s">
        <v>46</v>
      </c>
      <c r="W396" s="0" t="s">
        <v>40</v>
      </c>
      <c r="X396" s="0" t="s">
        <v>63</v>
      </c>
      <c r="Y396" s="0" t="s">
        <v>2214</v>
      </c>
      <c r="Z396" s="0" t="s">
        <v>46</v>
      </c>
      <c r="AA396" s="0" t="s">
        <v>46</v>
      </c>
      <c r="AB396" s="0" t="s">
        <v>116</v>
      </c>
      <c r="AC396" s="0" t="s">
        <v>51</v>
      </c>
      <c r="AD396" s="0" t="s">
        <v>1263</v>
      </c>
      <c r="AE396" s="0" t="s">
        <v>2190</v>
      </c>
      <c r="AF396" s="0" t="s">
        <v>2191</v>
      </c>
      <c r="AG396" s="0" t="s">
        <v>2192</v>
      </c>
      <c r="AH396" s="0" t="s">
        <v>2193</v>
      </c>
      <c r="AI396" s="0" t="s">
        <v>46</v>
      </c>
      <c r="AJ396" s="0" t="s">
        <v>46</v>
      </c>
      <c r="AK396" s="0" t="s">
        <v>46</v>
      </c>
      <c r="AL396" s="0" t="s">
        <v>46</v>
      </c>
    </row>
    <row r="397" customFormat="false" ht="15" hidden="false" customHeight="false" outlineLevel="0" collapsed="false">
      <c r="B397" s="0" t="str">
        <f aca="false">HYPERLINK("https://genome.ucsc.edu/cgi-bin/hgTracks?db=hg19&amp;position=chr3%3A180334077%2D180334077", "chr3:180334077")</f>
        <v>chr3:180334077</v>
      </c>
      <c r="C397" s="0" t="s">
        <v>309</v>
      </c>
      <c r="D397" s="0" t="n">
        <v>180334077</v>
      </c>
      <c r="E397" s="0" t="n">
        <v>180334077</v>
      </c>
      <c r="F397" s="0" t="s">
        <v>200</v>
      </c>
      <c r="G397" s="0" t="s">
        <v>57</v>
      </c>
      <c r="H397" s="0" t="s">
        <v>2221</v>
      </c>
      <c r="I397" s="0" t="s">
        <v>369</v>
      </c>
      <c r="J397" s="0" t="s">
        <v>370</v>
      </c>
      <c r="K397" s="0" t="s">
        <v>46</v>
      </c>
      <c r="L397" s="0" t="str">
        <f aca="false">HYPERLINK("https://www.ncbi.nlm.nih.gov/snp/rs200353947", "rs200353947")</f>
        <v>rs200353947</v>
      </c>
      <c r="M397" s="0" t="str">
        <f aca="false">HYPERLINK("https://www.genecards.org/Search/Keyword?queryString=%5Baliases%5D(%20CCDC39%20)&amp;keywords=CCDC39", "CCDC39")</f>
        <v>CCDC39</v>
      </c>
      <c r="N397" s="0" t="s">
        <v>98</v>
      </c>
      <c r="O397" s="0" t="s">
        <v>2206</v>
      </c>
      <c r="P397" s="0" t="s">
        <v>2222</v>
      </c>
      <c r="Q397" s="0" t="n">
        <v>0.0209</v>
      </c>
      <c r="R397" s="0" t="n">
        <v>0.0138</v>
      </c>
      <c r="S397" s="0" t="n">
        <v>0.0129</v>
      </c>
      <c r="T397" s="0" t="n">
        <v>-1</v>
      </c>
      <c r="U397" s="0" t="n">
        <v>0.0147</v>
      </c>
      <c r="V397" s="0" t="s">
        <v>46</v>
      </c>
      <c r="W397" s="0" t="s">
        <v>46</v>
      </c>
      <c r="X397" s="0" t="s">
        <v>46</v>
      </c>
      <c r="Y397" s="0" t="s">
        <v>46</v>
      </c>
      <c r="Z397" s="0" t="s">
        <v>46</v>
      </c>
      <c r="AA397" s="0" t="s">
        <v>46</v>
      </c>
      <c r="AB397" s="0" t="s">
        <v>50</v>
      </c>
      <c r="AC397" s="0" t="s">
        <v>51</v>
      </c>
      <c r="AD397" s="0" t="s">
        <v>52</v>
      </c>
      <c r="AE397" s="0" t="s">
        <v>2223</v>
      </c>
      <c r="AF397" s="0" t="s">
        <v>2224</v>
      </c>
      <c r="AG397" s="0" t="s">
        <v>2225</v>
      </c>
      <c r="AH397" s="0" t="s">
        <v>46</v>
      </c>
      <c r="AI397" s="0" t="s">
        <v>46</v>
      </c>
      <c r="AJ397" s="0" t="s">
        <v>46</v>
      </c>
      <c r="AK397" s="0" t="s">
        <v>46</v>
      </c>
      <c r="AL397" s="0" t="s">
        <v>46</v>
      </c>
    </row>
    <row r="398" customFormat="false" ht="15" hidden="false" customHeight="false" outlineLevel="0" collapsed="false">
      <c r="B398" s="0" t="str">
        <f aca="false">HYPERLINK("https://genome.ucsc.edu/cgi-bin/hgTracks?db=hg19&amp;position=chr1%3A120278072%2D120278072", "chr1:120278072")</f>
        <v>chr1:120278072</v>
      </c>
      <c r="C398" s="0" t="s">
        <v>56</v>
      </c>
      <c r="D398" s="0" t="n">
        <v>120278072</v>
      </c>
      <c r="E398" s="0" t="n">
        <v>120278072</v>
      </c>
      <c r="F398" s="0" t="s">
        <v>40</v>
      </c>
      <c r="G398" s="0" t="s">
        <v>69</v>
      </c>
      <c r="H398" s="0" t="s">
        <v>2226</v>
      </c>
      <c r="I398" s="0" t="s">
        <v>752</v>
      </c>
      <c r="J398" s="0" t="s">
        <v>2227</v>
      </c>
      <c r="K398" s="0" t="s">
        <v>46</v>
      </c>
      <c r="L398" s="0" t="str">
        <f aca="false">HYPERLINK("https://www.ncbi.nlm.nih.gov/snp/rs146953046", "rs146953046")</f>
        <v>rs146953046</v>
      </c>
      <c r="M398" s="0" t="str">
        <f aca="false">HYPERLINK("https://www.genecards.org/Search/Keyword?queryString=%5Baliases%5D(%20PHGDH%20)&amp;keywords=PHGDH", "PHGDH")</f>
        <v>PHGDH</v>
      </c>
      <c r="N398" s="0" t="s">
        <v>62</v>
      </c>
      <c r="O398" s="0" t="s">
        <v>46</v>
      </c>
      <c r="P398" s="0" t="s">
        <v>46</v>
      </c>
      <c r="Q398" s="0" t="n">
        <v>0.0241</v>
      </c>
      <c r="R398" s="0" t="n">
        <v>0.017</v>
      </c>
      <c r="S398" s="0" t="n">
        <v>0.0181</v>
      </c>
      <c r="T398" s="0" t="n">
        <v>-1</v>
      </c>
      <c r="U398" s="0" t="n">
        <v>0.0189</v>
      </c>
      <c r="V398" s="0" t="s">
        <v>46</v>
      </c>
      <c r="W398" s="0" t="s">
        <v>999</v>
      </c>
      <c r="X398" s="0" t="s">
        <v>999</v>
      </c>
      <c r="Y398" s="0" t="s">
        <v>2214</v>
      </c>
      <c r="Z398" s="0" t="s">
        <v>46</v>
      </c>
      <c r="AA398" s="0" t="s">
        <v>46</v>
      </c>
      <c r="AB398" s="0" t="s">
        <v>115</v>
      </c>
      <c r="AC398" s="0" t="s">
        <v>51</v>
      </c>
      <c r="AD398" s="0" t="s">
        <v>52</v>
      </c>
      <c r="AE398" s="0" t="s">
        <v>2228</v>
      </c>
      <c r="AF398" s="0" t="s">
        <v>2229</v>
      </c>
      <c r="AG398" s="0" t="s">
        <v>46</v>
      </c>
      <c r="AH398" s="0" t="s">
        <v>2230</v>
      </c>
      <c r="AI398" s="0" t="s">
        <v>46</v>
      </c>
      <c r="AJ398" s="0" t="s">
        <v>46</v>
      </c>
      <c r="AK398" s="0" t="s">
        <v>46</v>
      </c>
      <c r="AL398" s="0" t="s">
        <v>46</v>
      </c>
    </row>
    <row r="399" customFormat="false" ht="15" hidden="false" customHeight="false" outlineLevel="0" collapsed="false">
      <c r="B399" s="0" t="str">
        <f aca="false">HYPERLINK("https://genome.ucsc.edu/cgi-bin/hgTracks?db=hg19&amp;position=chr2%3A27704142%2D27704142", "chr2:27704142")</f>
        <v>chr2:27704142</v>
      </c>
      <c r="C399" s="0" t="s">
        <v>93</v>
      </c>
      <c r="D399" s="0" t="n">
        <v>27704142</v>
      </c>
      <c r="E399" s="0" t="n">
        <v>27704142</v>
      </c>
      <c r="F399" s="0" t="s">
        <v>69</v>
      </c>
      <c r="G399" s="0" t="s">
        <v>39</v>
      </c>
      <c r="H399" s="0" t="s">
        <v>2231</v>
      </c>
      <c r="I399" s="0" t="s">
        <v>535</v>
      </c>
      <c r="J399" s="0" t="s">
        <v>2232</v>
      </c>
      <c r="K399" s="0" t="s">
        <v>46</v>
      </c>
      <c r="L399" s="0" t="str">
        <f aca="false">HYPERLINK("https://www.ncbi.nlm.nih.gov/snp/rs75809198", "rs75809198")</f>
        <v>rs75809198</v>
      </c>
      <c r="M399" s="0" t="str">
        <f aca="false">HYPERLINK("https://www.genecards.org/Search/Keyword?queryString=%5Baliases%5D(%20IFT172%20)&amp;keywords=IFT172", "IFT172")</f>
        <v>IFT172</v>
      </c>
      <c r="N399" s="0" t="s">
        <v>62</v>
      </c>
      <c r="O399" s="0" t="s">
        <v>46</v>
      </c>
      <c r="P399" s="0" t="s">
        <v>46</v>
      </c>
      <c r="Q399" s="0" t="n">
        <v>0.0152</v>
      </c>
      <c r="R399" s="0" t="n">
        <v>0.0149</v>
      </c>
      <c r="S399" s="0" t="n">
        <v>0.0154</v>
      </c>
      <c r="T399" s="0" t="n">
        <v>-1</v>
      </c>
      <c r="U399" s="0" t="n">
        <v>0.0142</v>
      </c>
      <c r="V399" s="0" t="s">
        <v>46</v>
      </c>
      <c r="W399" s="0" t="s">
        <v>46</v>
      </c>
      <c r="X399" s="0" t="s">
        <v>999</v>
      </c>
      <c r="Y399" s="0" t="s">
        <v>64</v>
      </c>
      <c r="Z399" s="0" t="s">
        <v>46</v>
      </c>
      <c r="AA399" s="0" t="s">
        <v>46</v>
      </c>
      <c r="AB399" s="0" t="s">
        <v>115</v>
      </c>
      <c r="AC399" s="0" t="s">
        <v>51</v>
      </c>
      <c r="AD399" s="0" t="s">
        <v>52</v>
      </c>
      <c r="AE399" s="0" t="s">
        <v>2233</v>
      </c>
      <c r="AF399" s="0" t="s">
        <v>2234</v>
      </c>
      <c r="AG399" s="0" t="s">
        <v>2235</v>
      </c>
      <c r="AH399" s="0" t="s">
        <v>2236</v>
      </c>
      <c r="AI399" s="0" t="s">
        <v>46</v>
      </c>
      <c r="AJ399" s="0" t="s">
        <v>46</v>
      </c>
      <c r="AK399" s="0" t="s">
        <v>46</v>
      </c>
      <c r="AL399" s="0" t="s">
        <v>46</v>
      </c>
    </row>
    <row r="400" customFormat="false" ht="15" hidden="false" customHeight="false" outlineLevel="0" collapsed="false">
      <c r="B400" s="0" t="str">
        <f aca="false">HYPERLINK("https://genome.ucsc.edu/cgi-bin/hgTracks?db=hg19&amp;position=chr7%3A286468%2D286468", "chr7:286468")</f>
        <v>chr7:286468</v>
      </c>
      <c r="C400" s="0" t="s">
        <v>253</v>
      </c>
      <c r="D400" s="0" t="n">
        <v>286468</v>
      </c>
      <c r="E400" s="0" t="n">
        <v>286468</v>
      </c>
      <c r="F400" s="0" t="s">
        <v>200</v>
      </c>
      <c r="G400" s="0" t="s">
        <v>2237</v>
      </c>
      <c r="H400" s="0" t="s">
        <v>2238</v>
      </c>
      <c r="I400" s="0" t="s">
        <v>1103</v>
      </c>
      <c r="J400" s="0" t="s">
        <v>2239</v>
      </c>
      <c r="K400" s="0" t="s">
        <v>46</v>
      </c>
      <c r="L400" s="0" t="str">
        <f aca="false">HYPERLINK("https://www.ncbi.nlm.nih.gov/snp/rs771282640", "rs771282640")</f>
        <v>rs771282640</v>
      </c>
      <c r="M400" s="0" t="str">
        <f aca="false">HYPERLINK("https://www.genecards.org/Search/Keyword?queryString=%5Baliases%5D(%20FAM20C%20)&amp;keywords=FAM20C", "FAM20C")</f>
        <v>FAM20C</v>
      </c>
      <c r="N400" s="0" t="s">
        <v>98</v>
      </c>
      <c r="O400" s="0" t="s">
        <v>371</v>
      </c>
      <c r="P400" s="0" t="s">
        <v>2240</v>
      </c>
      <c r="Q400" s="0" t="n">
        <v>0.0070116</v>
      </c>
      <c r="R400" s="0" t="n">
        <v>-1</v>
      </c>
      <c r="S400" s="0" t="n">
        <v>-1</v>
      </c>
      <c r="T400" s="0" t="n">
        <v>-1</v>
      </c>
      <c r="U400" s="0" t="n">
        <v>-1</v>
      </c>
      <c r="V400" s="0" t="s">
        <v>46</v>
      </c>
      <c r="W400" s="0" t="s">
        <v>46</v>
      </c>
      <c r="X400" s="0" t="s">
        <v>46</v>
      </c>
      <c r="Y400" s="0" t="s">
        <v>46</v>
      </c>
      <c r="Z400" s="0" t="s">
        <v>46</v>
      </c>
      <c r="AA400" s="0" t="s">
        <v>46</v>
      </c>
      <c r="AB400" s="0" t="s">
        <v>115</v>
      </c>
      <c r="AC400" s="0" t="s">
        <v>51</v>
      </c>
      <c r="AD400" s="0" t="s">
        <v>52</v>
      </c>
      <c r="AE400" s="0" t="s">
        <v>2241</v>
      </c>
      <c r="AF400" s="0" t="s">
        <v>2242</v>
      </c>
      <c r="AG400" s="0" t="s">
        <v>2243</v>
      </c>
      <c r="AH400" s="0" t="s">
        <v>2244</v>
      </c>
      <c r="AI400" s="0" t="s">
        <v>46</v>
      </c>
      <c r="AJ400" s="0" t="s">
        <v>46</v>
      </c>
      <c r="AK400" s="0" t="s">
        <v>46</v>
      </c>
      <c r="AL400" s="0" t="s">
        <v>46</v>
      </c>
    </row>
    <row r="401" customFormat="false" ht="15" hidden="false" customHeight="false" outlineLevel="0" collapsed="false">
      <c r="B401" s="0" t="str">
        <f aca="false">HYPERLINK("https://genome.ucsc.edu/cgi-bin/hgTracks?db=hg19&amp;position=chr1%3A1635536%2D1635536", "chr1:1635536")</f>
        <v>chr1:1635536</v>
      </c>
      <c r="C401" s="0" t="s">
        <v>56</v>
      </c>
      <c r="D401" s="0" t="n">
        <v>1635536</v>
      </c>
      <c r="E401" s="0" t="n">
        <v>1635536</v>
      </c>
      <c r="F401" s="0" t="s">
        <v>200</v>
      </c>
      <c r="G401" s="0" t="s">
        <v>57</v>
      </c>
      <c r="H401" s="0" t="s">
        <v>2245</v>
      </c>
      <c r="I401" s="0" t="s">
        <v>982</v>
      </c>
      <c r="J401" s="0" t="s">
        <v>2246</v>
      </c>
      <c r="K401" s="0" t="s">
        <v>46</v>
      </c>
      <c r="L401" s="0" t="str">
        <f aca="false">HYPERLINK("https://www.ncbi.nlm.nih.gov/snp/rs747876059", "rs747876059")</f>
        <v>rs747876059</v>
      </c>
      <c r="M401" s="0" t="str">
        <f aca="false">HYPERLINK("https://www.genecards.org/Search/Keyword?queryString=%5Baliases%5D(%20CDK11A%20)&amp;keywords=CDK11A", "CDK11A")</f>
        <v>CDK11A</v>
      </c>
      <c r="N401" s="0" t="s">
        <v>98</v>
      </c>
      <c r="O401" s="0" t="s">
        <v>2206</v>
      </c>
      <c r="P401" s="0" t="s">
        <v>2247</v>
      </c>
      <c r="Q401" s="0" t="n">
        <v>0.0113</v>
      </c>
      <c r="R401" s="0" t="n">
        <v>0.0034</v>
      </c>
      <c r="S401" s="0" t="n">
        <v>0.0031</v>
      </c>
      <c r="T401" s="0" t="n">
        <v>-1</v>
      </c>
      <c r="U401" s="0" t="n">
        <v>0.005</v>
      </c>
      <c r="V401" s="0" t="s">
        <v>46</v>
      </c>
      <c r="W401" s="0" t="s">
        <v>46</v>
      </c>
      <c r="X401" s="0" t="s">
        <v>46</v>
      </c>
      <c r="Y401" s="0" t="s">
        <v>46</v>
      </c>
      <c r="Z401" s="0" t="s">
        <v>46</v>
      </c>
      <c r="AA401" s="0" t="s">
        <v>46</v>
      </c>
      <c r="AB401" s="0" t="s">
        <v>46</v>
      </c>
      <c r="AC401" s="0" t="s">
        <v>51</v>
      </c>
      <c r="AD401" s="0" t="s">
        <v>52</v>
      </c>
      <c r="AE401" s="0" t="s">
        <v>2248</v>
      </c>
      <c r="AF401" s="0" t="s">
        <v>2249</v>
      </c>
      <c r="AG401" s="0" t="s">
        <v>2250</v>
      </c>
      <c r="AH401" s="0" t="s">
        <v>46</v>
      </c>
      <c r="AI401" s="0" t="s">
        <v>46</v>
      </c>
      <c r="AJ401" s="0" t="s">
        <v>46</v>
      </c>
      <c r="AK401" s="0" t="s">
        <v>46</v>
      </c>
      <c r="AL401" s="0" t="s">
        <v>609</v>
      </c>
    </row>
    <row r="402" customFormat="false" ht="15" hidden="false" customHeight="false" outlineLevel="0" collapsed="false">
      <c r="B402" s="0" t="str">
        <f aca="false">HYPERLINK("https://genome.ucsc.edu/cgi-bin/hgTracks?db=hg19&amp;position=chr1%3A10352185%2D10352185", "chr1:10352185")</f>
        <v>chr1:10352185</v>
      </c>
      <c r="C402" s="0" t="s">
        <v>56</v>
      </c>
      <c r="D402" s="0" t="n">
        <v>10352185</v>
      </c>
      <c r="E402" s="0" t="n">
        <v>10352185</v>
      </c>
      <c r="F402" s="0" t="s">
        <v>69</v>
      </c>
      <c r="G402" s="0" t="s">
        <v>40</v>
      </c>
      <c r="H402" s="0" t="s">
        <v>935</v>
      </c>
      <c r="I402" s="0" t="s">
        <v>413</v>
      </c>
      <c r="J402" s="0" t="s">
        <v>414</v>
      </c>
      <c r="K402" s="0" t="s">
        <v>46</v>
      </c>
      <c r="L402" s="0" t="s">
        <v>46</v>
      </c>
      <c r="M402" s="0" t="str">
        <f aca="false">HYPERLINK("https://www.genecards.org/Search/Keyword?queryString=%5Baliases%5D(%20KIF1B%20)&amp;keywords=KIF1B", "KIF1B")</f>
        <v>KIF1B</v>
      </c>
      <c r="N402" s="0" t="s">
        <v>62</v>
      </c>
      <c r="O402" s="0" t="s">
        <v>46</v>
      </c>
      <c r="P402" s="0" t="s">
        <v>46</v>
      </c>
      <c r="Q402" s="0" t="n">
        <v>-1</v>
      </c>
      <c r="R402" s="0" t="n">
        <v>-1</v>
      </c>
      <c r="S402" s="0" t="n">
        <v>-1</v>
      </c>
      <c r="T402" s="0" t="n">
        <v>-1</v>
      </c>
      <c r="U402" s="0" t="n">
        <v>-1</v>
      </c>
      <c r="V402" s="0" t="s">
        <v>46</v>
      </c>
      <c r="W402" s="0" t="s">
        <v>999</v>
      </c>
      <c r="X402" s="0" t="s">
        <v>999</v>
      </c>
      <c r="Y402" s="0" t="s">
        <v>2214</v>
      </c>
      <c r="Z402" s="0" t="s">
        <v>46</v>
      </c>
      <c r="AA402" s="0" t="s">
        <v>46</v>
      </c>
      <c r="AB402" s="0" t="s">
        <v>46</v>
      </c>
      <c r="AC402" s="0" t="s">
        <v>51</v>
      </c>
      <c r="AD402" s="0" t="s">
        <v>52</v>
      </c>
      <c r="AE402" s="0" t="s">
        <v>2251</v>
      </c>
      <c r="AF402" s="0" t="s">
        <v>2252</v>
      </c>
      <c r="AG402" s="0" t="s">
        <v>2253</v>
      </c>
      <c r="AH402" s="0" t="s">
        <v>2254</v>
      </c>
      <c r="AI402" s="0" t="s">
        <v>46</v>
      </c>
      <c r="AJ402" s="0" t="s">
        <v>46</v>
      </c>
      <c r="AK402" s="0" t="s">
        <v>46</v>
      </c>
      <c r="AL402" s="0" t="s">
        <v>46</v>
      </c>
    </row>
    <row r="403" customFormat="false" ht="15" hidden="false" customHeight="false" outlineLevel="0" collapsed="false">
      <c r="B403" s="0" t="str">
        <f aca="false">HYPERLINK("https://genome.ucsc.edu/cgi-bin/hgTracks?db=hg19&amp;position=chr1%3A12888883%2D12888883", "chr1:12888883")</f>
        <v>chr1:12888883</v>
      </c>
      <c r="C403" s="0" t="s">
        <v>56</v>
      </c>
      <c r="D403" s="0" t="n">
        <v>12888883</v>
      </c>
      <c r="E403" s="0" t="n">
        <v>12888883</v>
      </c>
      <c r="F403" s="0" t="s">
        <v>69</v>
      </c>
      <c r="G403" s="0" t="s">
        <v>57</v>
      </c>
      <c r="H403" s="0" t="s">
        <v>577</v>
      </c>
      <c r="I403" s="0" t="s">
        <v>1103</v>
      </c>
      <c r="J403" s="0" t="s">
        <v>2142</v>
      </c>
      <c r="K403" s="0" t="s">
        <v>46</v>
      </c>
      <c r="L403" s="0" t="s">
        <v>46</v>
      </c>
      <c r="M403" s="0" t="str">
        <f aca="false">HYPERLINK("https://www.genecards.org/Search/Keyword?queryString=%5Baliases%5D(%20PRAMEF11%20)&amp;keywords=PRAMEF11", "PRAMEF11")</f>
        <v>PRAMEF11</v>
      </c>
      <c r="N403" s="0" t="s">
        <v>62</v>
      </c>
      <c r="O403" s="0" t="s">
        <v>46</v>
      </c>
      <c r="P403" s="0" t="s">
        <v>46</v>
      </c>
      <c r="Q403" s="0" t="n">
        <v>0.0167</v>
      </c>
      <c r="R403" s="0" t="n">
        <v>0.007</v>
      </c>
      <c r="S403" s="0" t="n">
        <v>0.0076</v>
      </c>
      <c r="T403" s="0" t="n">
        <v>-1</v>
      </c>
      <c r="U403" s="0" t="n">
        <v>0.008</v>
      </c>
      <c r="V403" s="0" t="s">
        <v>46</v>
      </c>
      <c r="W403" s="0" t="s">
        <v>46</v>
      </c>
      <c r="X403" s="0" t="s">
        <v>2255</v>
      </c>
      <c r="Y403" s="0" t="s">
        <v>64</v>
      </c>
      <c r="Z403" s="0" t="s">
        <v>46</v>
      </c>
      <c r="AA403" s="0" t="s">
        <v>46</v>
      </c>
      <c r="AB403" s="0" t="s">
        <v>46</v>
      </c>
      <c r="AC403" s="0" t="s">
        <v>51</v>
      </c>
      <c r="AD403" s="0" t="s">
        <v>52</v>
      </c>
      <c r="AE403" s="0" t="s">
        <v>2256</v>
      </c>
      <c r="AF403" s="0" t="s">
        <v>2257</v>
      </c>
      <c r="AG403" s="0" t="s">
        <v>46</v>
      </c>
      <c r="AH403" s="0" t="s">
        <v>46</v>
      </c>
      <c r="AI403" s="0" t="s">
        <v>46</v>
      </c>
      <c r="AJ403" s="0" t="s">
        <v>46</v>
      </c>
      <c r="AK403" s="0" t="s">
        <v>46</v>
      </c>
      <c r="AL403" s="0" t="s">
        <v>46</v>
      </c>
    </row>
    <row r="404" customFormat="false" ht="15" hidden="false" customHeight="false" outlineLevel="0" collapsed="false">
      <c r="B404" s="0" t="str">
        <f aca="false">HYPERLINK("https://genome.ucsc.edu/cgi-bin/hgTracks?db=hg19&amp;position=chr1%3A21930206%2D21930206", "chr1:21930206")</f>
        <v>chr1:21930206</v>
      </c>
      <c r="C404" s="0" t="s">
        <v>56</v>
      </c>
      <c r="D404" s="0" t="n">
        <v>21930206</v>
      </c>
      <c r="E404" s="0" t="n">
        <v>21930206</v>
      </c>
      <c r="F404" s="0" t="s">
        <v>39</v>
      </c>
      <c r="G404" s="0" t="s">
        <v>40</v>
      </c>
      <c r="H404" s="0" t="s">
        <v>2258</v>
      </c>
      <c r="I404" s="0" t="s">
        <v>896</v>
      </c>
      <c r="J404" s="0" t="s">
        <v>2259</v>
      </c>
      <c r="K404" s="0" t="s">
        <v>46</v>
      </c>
      <c r="L404" s="0" t="str">
        <f aca="false">HYPERLINK("https://www.ncbi.nlm.nih.gov/snp/rs548202652", "rs548202652")</f>
        <v>rs548202652</v>
      </c>
      <c r="M404" s="0" t="str">
        <f aca="false">HYPERLINK("https://www.genecards.org/Search/Keyword?queryString=%5Baliases%5D(%20RAP1GAP%20)&amp;keywords=RAP1GAP", "RAP1GAP")</f>
        <v>RAP1GAP</v>
      </c>
      <c r="N404" s="0" t="s">
        <v>98</v>
      </c>
      <c r="O404" s="0" t="s">
        <v>99</v>
      </c>
      <c r="P404" s="0" t="s">
        <v>2260</v>
      </c>
      <c r="Q404" s="0" t="n">
        <v>0.0072</v>
      </c>
      <c r="R404" s="0" t="n">
        <v>-1</v>
      </c>
      <c r="S404" s="0" t="n">
        <v>-1</v>
      </c>
      <c r="T404" s="0" t="n">
        <v>-1</v>
      </c>
      <c r="U404" s="0" t="n">
        <v>-1</v>
      </c>
      <c r="V404" s="0" t="s">
        <v>1027</v>
      </c>
      <c r="W404" s="0" t="s">
        <v>46</v>
      </c>
      <c r="X404" s="0" t="s">
        <v>46</v>
      </c>
      <c r="Y404" s="0" t="s">
        <v>46</v>
      </c>
      <c r="Z404" s="0" t="s">
        <v>49</v>
      </c>
      <c r="AA404" s="0" t="s">
        <v>46</v>
      </c>
      <c r="AB404" s="0" t="s">
        <v>46</v>
      </c>
      <c r="AC404" s="0" t="s">
        <v>51</v>
      </c>
      <c r="AD404" s="0" t="s">
        <v>52</v>
      </c>
      <c r="AE404" s="0" t="s">
        <v>2261</v>
      </c>
      <c r="AF404" s="0" t="s">
        <v>2262</v>
      </c>
      <c r="AG404" s="0" t="s">
        <v>2263</v>
      </c>
      <c r="AH404" s="0" t="s">
        <v>46</v>
      </c>
      <c r="AI404" s="0" t="s">
        <v>46</v>
      </c>
      <c r="AJ404" s="0" t="s">
        <v>46</v>
      </c>
      <c r="AK404" s="0" t="s">
        <v>46</v>
      </c>
      <c r="AL404" s="0" t="s">
        <v>46</v>
      </c>
    </row>
    <row r="405" customFormat="false" ht="15" hidden="false" customHeight="false" outlineLevel="0" collapsed="false">
      <c r="B405" s="0" t="str">
        <f aca="false">HYPERLINK("https://genome.ucsc.edu/cgi-bin/hgTracks?db=hg19&amp;position=chr1%3A43240534%2D43240534", "chr1:43240534")</f>
        <v>chr1:43240534</v>
      </c>
      <c r="C405" s="0" t="s">
        <v>56</v>
      </c>
      <c r="D405" s="0" t="n">
        <v>43240534</v>
      </c>
      <c r="E405" s="0" t="n">
        <v>43240534</v>
      </c>
      <c r="F405" s="0" t="s">
        <v>39</v>
      </c>
      <c r="G405" s="0" t="s">
        <v>200</v>
      </c>
      <c r="H405" s="0" t="s">
        <v>2264</v>
      </c>
      <c r="I405" s="0" t="s">
        <v>311</v>
      </c>
      <c r="J405" s="0" t="s">
        <v>1141</v>
      </c>
      <c r="K405" s="0" t="s">
        <v>46</v>
      </c>
      <c r="L405" s="0" t="s">
        <v>46</v>
      </c>
      <c r="M405" s="0" t="str">
        <f aca="false">HYPERLINK("https://www.genecards.org/Search/Keyword?queryString=%5Baliases%5D(%20C1orf50%20)&amp;keywords=C1orf50", "C1orf50")</f>
        <v>C1orf50</v>
      </c>
      <c r="N405" s="0" t="s">
        <v>98</v>
      </c>
      <c r="O405" s="0" t="s">
        <v>2265</v>
      </c>
      <c r="P405" s="0" t="s">
        <v>2266</v>
      </c>
      <c r="Q405" s="0" t="n">
        <v>-1</v>
      </c>
      <c r="R405" s="0" t="n">
        <v>-1</v>
      </c>
      <c r="S405" s="0" t="n">
        <v>-1</v>
      </c>
      <c r="T405" s="0" t="n">
        <v>-1</v>
      </c>
      <c r="U405" s="0" t="n">
        <v>-1</v>
      </c>
      <c r="V405" s="0" t="s">
        <v>46</v>
      </c>
      <c r="W405" s="0" t="s">
        <v>46</v>
      </c>
      <c r="X405" s="0" t="s">
        <v>46</v>
      </c>
      <c r="Y405" s="0" t="s">
        <v>46</v>
      </c>
      <c r="Z405" s="0" t="s">
        <v>46</v>
      </c>
      <c r="AA405" s="0" t="s">
        <v>46</v>
      </c>
      <c r="AB405" s="0" t="s">
        <v>46</v>
      </c>
      <c r="AC405" s="0" t="s">
        <v>51</v>
      </c>
      <c r="AD405" s="0" t="s">
        <v>52</v>
      </c>
      <c r="AE405" s="0" t="s">
        <v>2267</v>
      </c>
      <c r="AF405" s="0" t="s">
        <v>2268</v>
      </c>
      <c r="AG405" s="0" t="s">
        <v>46</v>
      </c>
      <c r="AH405" s="0" t="s">
        <v>46</v>
      </c>
      <c r="AI405" s="0" t="s">
        <v>46</v>
      </c>
      <c r="AJ405" s="0" t="s">
        <v>46</v>
      </c>
      <c r="AK405" s="0" t="s">
        <v>46</v>
      </c>
      <c r="AL405" s="0" t="s">
        <v>46</v>
      </c>
    </row>
    <row r="406" customFormat="false" ht="15" hidden="false" customHeight="false" outlineLevel="0" collapsed="false">
      <c r="B406" s="0" t="str">
        <f aca="false">HYPERLINK("https://genome.ucsc.edu/cgi-bin/hgTracks?db=hg19&amp;position=chr1%3A110603286%2D110603286", "chr1:110603286")</f>
        <v>chr1:110603286</v>
      </c>
      <c r="C406" s="0" t="s">
        <v>56</v>
      </c>
      <c r="D406" s="0" t="n">
        <v>110603286</v>
      </c>
      <c r="E406" s="0" t="n">
        <v>110603286</v>
      </c>
      <c r="F406" s="0" t="s">
        <v>57</v>
      </c>
      <c r="G406" s="0" t="s">
        <v>69</v>
      </c>
      <c r="H406" s="0" t="s">
        <v>2269</v>
      </c>
      <c r="I406" s="0" t="s">
        <v>581</v>
      </c>
      <c r="J406" s="0" t="s">
        <v>2045</v>
      </c>
      <c r="K406" s="0" t="s">
        <v>46</v>
      </c>
      <c r="L406" s="0" t="str">
        <f aca="false">HYPERLINK("https://www.ncbi.nlm.nih.gov/snp/rs4520416", "rs4520416")</f>
        <v>rs4520416</v>
      </c>
      <c r="M406" s="0" t="str">
        <f aca="false">HYPERLINK("https://www.genecards.org/Search/Keyword?queryString=%5Baliases%5D(%20ALX3%20)&amp;keywords=ALX3", "ALX3")</f>
        <v>ALX3</v>
      </c>
      <c r="N406" s="0" t="s">
        <v>2270</v>
      </c>
      <c r="O406" s="0" t="s">
        <v>46</v>
      </c>
      <c r="P406" s="0" t="s">
        <v>2271</v>
      </c>
      <c r="Q406" s="0" t="n">
        <v>0.013957</v>
      </c>
      <c r="R406" s="0" t="n">
        <v>-1</v>
      </c>
      <c r="S406" s="0" t="n">
        <v>-1</v>
      </c>
      <c r="T406" s="0" t="n">
        <v>-1</v>
      </c>
      <c r="U406" s="0" t="n">
        <v>-1</v>
      </c>
      <c r="V406" s="0" t="s">
        <v>46</v>
      </c>
      <c r="W406" s="0" t="s">
        <v>46</v>
      </c>
      <c r="X406" s="0" t="s">
        <v>46</v>
      </c>
      <c r="Y406" s="0" t="s">
        <v>46</v>
      </c>
      <c r="Z406" s="0" t="s">
        <v>46</v>
      </c>
      <c r="AA406" s="0" t="s">
        <v>46</v>
      </c>
      <c r="AB406" s="0" t="s">
        <v>46</v>
      </c>
      <c r="AC406" s="0" t="s">
        <v>51</v>
      </c>
      <c r="AD406" s="0" t="s">
        <v>52</v>
      </c>
      <c r="AE406" s="0" t="s">
        <v>2272</v>
      </c>
      <c r="AF406" s="0" t="s">
        <v>2273</v>
      </c>
      <c r="AG406" s="0" t="s">
        <v>2274</v>
      </c>
      <c r="AH406" s="0" t="s">
        <v>2275</v>
      </c>
      <c r="AI406" s="0" t="s">
        <v>46</v>
      </c>
      <c r="AJ406" s="0" t="s">
        <v>46</v>
      </c>
      <c r="AK406" s="0" t="s">
        <v>46</v>
      </c>
      <c r="AL406" s="0" t="s">
        <v>46</v>
      </c>
    </row>
    <row r="407" customFormat="false" ht="15" hidden="false" customHeight="false" outlineLevel="0" collapsed="false">
      <c r="B407" s="0" t="str">
        <f aca="false">HYPERLINK("https://genome.ucsc.edu/cgi-bin/hgTracks?db=hg19&amp;position=chr1%3A117156326%2D117156326", "chr1:117156326")</f>
        <v>chr1:117156326</v>
      </c>
      <c r="C407" s="0" t="s">
        <v>56</v>
      </c>
      <c r="D407" s="0" t="n">
        <v>117156326</v>
      </c>
      <c r="E407" s="0" t="n">
        <v>117156326</v>
      </c>
      <c r="F407" s="0" t="s">
        <v>39</v>
      </c>
      <c r="G407" s="0" t="s">
        <v>40</v>
      </c>
      <c r="H407" s="0" t="s">
        <v>2276</v>
      </c>
      <c r="I407" s="0" t="s">
        <v>842</v>
      </c>
      <c r="J407" s="0" t="s">
        <v>2277</v>
      </c>
      <c r="K407" s="0" t="s">
        <v>46</v>
      </c>
      <c r="L407" s="0" t="str">
        <f aca="false">HYPERLINK("https://www.ncbi.nlm.nih.gov/snp/rs201074598", "rs201074598")</f>
        <v>rs201074598</v>
      </c>
      <c r="M407" s="0" t="str">
        <f aca="false">HYPERLINK("https://www.genecards.org/Search/Keyword?queryString=%5Baliases%5D(%20IGSF3%20)&amp;keywords=IGSF3", "IGSF3")</f>
        <v>IGSF3</v>
      </c>
      <c r="N407" s="0" t="s">
        <v>62</v>
      </c>
      <c r="O407" s="0" t="s">
        <v>46</v>
      </c>
      <c r="P407" s="0" t="s">
        <v>46</v>
      </c>
      <c r="Q407" s="0" t="n">
        <v>3.84E-005</v>
      </c>
      <c r="R407" s="0" t="n">
        <v>-1</v>
      </c>
      <c r="S407" s="0" t="n">
        <v>-1</v>
      </c>
      <c r="T407" s="0" t="n">
        <v>-1</v>
      </c>
      <c r="U407" s="0" t="n">
        <v>-1</v>
      </c>
      <c r="V407" s="0" t="s">
        <v>46</v>
      </c>
      <c r="W407" s="0" t="s">
        <v>46</v>
      </c>
      <c r="X407" s="0" t="s">
        <v>999</v>
      </c>
      <c r="Y407" s="0" t="s">
        <v>64</v>
      </c>
      <c r="Z407" s="0" t="s">
        <v>46</v>
      </c>
      <c r="AA407" s="0" t="s">
        <v>46</v>
      </c>
      <c r="AB407" s="0" t="s">
        <v>46</v>
      </c>
      <c r="AC407" s="0" t="s">
        <v>51</v>
      </c>
      <c r="AD407" s="0" t="s">
        <v>581</v>
      </c>
      <c r="AE407" s="0" t="s">
        <v>582</v>
      </c>
      <c r="AF407" s="0" t="s">
        <v>583</v>
      </c>
      <c r="AG407" s="0" t="s">
        <v>46</v>
      </c>
      <c r="AH407" s="0" t="s">
        <v>46</v>
      </c>
      <c r="AI407" s="0" t="s">
        <v>46</v>
      </c>
      <c r="AJ407" s="0" t="s">
        <v>46</v>
      </c>
      <c r="AK407" s="0" t="s">
        <v>46</v>
      </c>
      <c r="AL407" s="0" t="s">
        <v>609</v>
      </c>
    </row>
    <row r="408" customFormat="false" ht="15" hidden="false" customHeight="false" outlineLevel="0" collapsed="false">
      <c r="B408" s="0" t="str">
        <f aca="false">HYPERLINK("https://genome.ucsc.edu/cgi-bin/hgTracks?db=hg19&amp;position=chr1%3A118477260%2D118477269", "chr1:118477260")</f>
        <v>chr1:118477260</v>
      </c>
      <c r="C408" s="0" t="s">
        <v>56</v>
      </c>
      <c r="D408" s="0" t="n">
        <v>118477260</v>
      </c>
      <c r="E408" s="0" t="n">
        <v>118477269</v>
      </c>
      <c r="F408" s="0" t="s">
        <v>2278</v>
      </c>
      <c r="G408" s="0" t="s">
        <v>200</v>
      </c>
      <c r="H408" s="0" t="s">
        <v>2279</v>
      </c>
      <c r="I408" s="0" t="s">
        <v>581</v>
      </c>
      <c r="J408" s="0" t="s">
        <v>919</v>
      </c>
      <c r="K408" s="0" t="s">
        <v>46</v>
      </c>
      <c r="L408" s="0" t="s">
        <v>46</v>
      </c>
      <c r="M408" s="0" t="str">
        <f aca="false">HYPERLINK("https://www.genecards.org/Search/Keyword?queryString=%5Baliases%5D(%20WDR3%20)&amp;keywords=WDR3", "WDR3")</f>
        <v>WDR3</v>
      </c>
      <c r="N408" s="0" t="s">
        <v>98</v>
      </c>
      <c r="O408" s="0" t="s">
        <v>2265</v>
      </c>
      <c r="P408" s="0" t="s">
        <v>2280</v>
      </c>
      <c r="Q408" s="0" t="n">
        <v>-1</v>
      </c>
      <c r="R408" s="0" t="n">
        <v>-1</v>
      </c>
      <c r="S408" s="0" t="n">
        <v>-1</v>
      </c>
      <c r="T408" s="0" t="n">
        <v>-1</v>
      </c>
      <c r="U408" s="0" t="n">
        <v>-1</v>
      </c>
      <c r="V408" s="0" t="s">
        <v>46</v>
      </c>
      <c r="W408" s="0" t="s">
        <v>46</v>
      </c>
      <c r="X408" s="0" t="s">
        <v>46</v>
      </c>
      <c r="Y408" s="0" t="s">
        <v>46</v>
      </c>
      <c r="Z408" s="0" t="s">
        <v>46</v>
      </c>
      <c r="AA408" s="0" t="s">
        <v>46</v>
      </c>
      <c r="AB408" s="0" t="s">
        <v>46</v>
      </c>
      <c r="AC408" s="0" t="s">
        <v>51</v>
      </c>
      <c r="AD408" s="0" t="s">
        <v>52</v>
      </c>
      <c r="AE408" s="0" t="s">
        <v>2281</v>
      </c>
      <c r="AF408" s="0" t="s">
        <v>2282</v>
      </c>
      <c r="AG408" s="0" t="s">
        <v>46</v>
      </c>
      <c r="AH408" s="0" t="s">
        <v>46</v>
      </c>
      <c r="AI408" s="0" t="s">
        <v>46</v>
      </c>
      <c r="AJ408" s="0" t="s">
        <v>46</v>
      </c>
      <c r="AK408" s="0" t="s">
        <v>46</v>
      </c>
      <c r="AL408" s="0" t="s">
        <v>46</v>
      </c>
    </row>
    <row r="409" customFormat="false" ht="15" hidden="false" customHeight="false" outlineLevel="0" collapsed="false">
      <c r="B409" s="0" t="str">
        <f aca="false">HYPERLINK("https://genome.ucsc.edu/cgi-bin/hgTracks?db=hg19&amp;position=chr1%3A155953013%2D155953013", "chr1:155953013")</f>
        <v>chr1:155953013</v>
      </c>
      <c r="C409" s="0" t="s">
        <v>56</v>
      </c>
      <c r="D409" s="0" t="n">
        <v>155953013</v>
      </c>
      <c r="E409" s="0" t="n">
        <v>155953013</v>
      </c>
      <c r="F409" s="0" t="s">
        <v>57</v>
      </c>
      <c r="G409" s="0" t="s">
        <v>39</v>
      </c>
      <c r="H409" s="0" t="s">
        <v>601</v>
      </c>
      <c r="I409" s="0" t="s">
        <v>1103</v>
      </c>
      <c r="J409" s="0" t="s">
        <v>2239</v>
      </c>
      <c r="K409" s="0" t="s">
        <v>46</v>
      </c>
      <c r="L409" s="0" t="s">
        <v>46</v>
      </c>
      <c r="M409" s="0" t="str">
        <f aca="false">HYPERLINK("https://www.genecards.org/Search/Keyword?queryString=%5Baliases%5D(%20ARHGEF2%20)&amp;keywords=ARHGEF2", "ARHGEF2")</f>
        <v>ARHGEF2</v>
      </c>
      <c r="N409" s="0" t="s">
        <v>2283</v>
      </c>
      <c r="O409" s="0" t="s">
        <v>46</v>
      </c>
      <c r="P409" s="0" t="s">
        <v>2284</v>
      </c>
      <c r="Q409" s="0" t="n">
        <v>-1</v>
      </c>
      <c r="R409" s="0" t="n">
        <v>-1</v>
      </c>
      <c r="S409" s="0" t="n">
        <v>-1</v>
      </c>
      <c r="T409" s="0" t="n">
        <v>-1</v>
      </c>
      <c r="U409" s="0" t="n">
        <v>-1</v>
      </c>
      <c r="V409" s="0" t="s">
        <v>46</v>
      </c>
      <c r="W409" s="0" t="s">
        <v>46</v>
      </c>
      <c r="X409" s="0" t="s">
        <v>999</v>
      </c>
      <c r="Y409" s="0" t="s">
        <v>64</v>
      </c>
      <c r="Z409" s="0" t="s">
        <v>46</v>
      </c>
      <c r="AA409" s="0" t="s">
        <v>46</v>
      </c>
      <c r="AB409" s="0" t="s">
        <v>46</v>
      </c>
      <c r="AC409" s="0" t="s">
        <v>51</v>
      </c>
      <c r="AD409" s="0" t="s">
        <v>52</v>
      </c>
      <c r="AE409" s="0" t="s">
        <v>2285</v>
      </c>
      <c r="AF409" s="0" t="s">
        <v>2286</v>
      </c>
      <c r="AG409" s="0" t="s">
        <v>2287</v>
      </c>
      <c r="AH409" s="0" t="s">
        <v>46</v>
      </c>
      <c r="AI409" s="0" t="s">
        <v>46</v>
      </c>
      <c r="AJ409" s="0" t="s">
        <v>46</v>
      </c>
      <c r="AK409" s="0" t="s">
        <v>46</v>
      </c>
      <c r="AL409" s="0" t="s">
        <v>46</v>
      </c>
    </row>
    <row r="410" customFormat="false" ht="15" hidden="false" customHeight="false" outlineLevel="0" collapsed="false">
      <c r="B410" s="0" t="str">
        <f aca="false">HYPERLINK("https://genome.ucsc.edu/cgi-bin/hgTracks?db=hg19&amp;position=chr1%3A182440473%2D182440473", "chr1:182440473")</f>
        <v>chr1:182440473</v>
      </c>
      <c r="C410" s="0" t="s">
        <v>56</v>
      </c>
      <c r="D410" s="0" t="n">
        <v>182440473</v>
      </c>
      <c r="E410" s="0" t="n">
        <v>182440473</v>
      </c>
      <c r="F410" s="0" t="s">
        <v>69</v>
      </c>
      <c r="G410" s="0" t="s">
        <v>39</v>
      </c>
      <c r="H410" s="0" t="s">
        <v>2288</v>
      </c>
      <c r="I410" s="0" t="s">
        <v>1219</v>
      </c>
      <c r="J410" s="0" t="s">
        <v>1220</v>
      </c>
      <c r="K410" s="0" t="s">
        <v>46</v>
      </c>
      <c r="L410" s="0" t="str">
        <f aca="false">HYPERLINK("https://www.ncbi.nlm.nih.gov/snp/rs61759906", "rs61759906")</f>
        <v>rs61759906</v>
      </c>
      <c r="M410" s="0" t="str">
        <f aca="false">HYPERLINK("https://www.genecards.org/Search/Keyword?queryString=%5Baliases%5D(%20RGSL1%20)&amp;keywords=RGSL1", "RGSL1")</f>
        <v>RGSL1</v>
      </c>
      <c r="N410" s="0" t="s">
        <v>1888</v>
      </c>
      <c r="O410" s="0" t="s">
        <v>99</v>
      </c>
      <c r="P410" s="0" t="s">
        <v>2289</v>
      </c>
      <c r="Q410" s="0" t="n">
        <v>0.0084</v>
      </c>
      <c r="R410" s="0" t="n">
        <v>0.0069</v>
      </c>
      <c r="S410" s="0" t="n">
        <v>0.0052</v>
      </c>
      <c r="T410" s="0" t="n">
        <v>-1</v>
      </c>
      <c r="U410" s="0" t="n">
        <v>0.0109</v>
      </c>
      <c r="V410" s="0" t="s">
        <v>2290</v>
      </c>
      <c r="W410" s="0" t="s">
        <v>46</v>
      </c>
      <c r="X410" s="0" t="s">
        <v>46</v>
      </c>
      <c r="Y410" s="0" t="s">
        <v>46</v>
      </c>
      <c r="Z410" s="0" t="s">
        <v>138</v>
      </c>
      <c r="AA410" s="0" t="s">
        <v>46</v>
      </c>
      <c r="AB410" s="0" t="s">
        <v>46</v>
      </c>
      <c r="AC410" s="0" t="s">
        <v>51</v>
      </c>
      <c r="AD410" s="0" t="s">
        <v>52</v>
      </c>
      <c r="AE410" s="0" t="s">
        <v>46</v>
      </c>
      <c r="AF410" s="0" t="s">
        <v>2291</v>
      </c>
      <c r="AG410" s="0" t="s">
        <v>46</v>
      </c>
      <c r="AH410" s="0" t="s">
        <v>46</v>
      </c>
      <c r="AI410" s="0" t="s">
        <v>46</v>
      </c>
      <c r="AJ410" s="0" t="s">
        <v>46</v>
      </c>
      <c r="AK410" s="0" t="s">
        <v>46</v>
      </c>
      <c r="AL410" s="0" t="s">
        <v>46</v>
      </c>
    </row>
    <row r="411" customFormat="false" ht="15" hidden="false" customHeight="false" outlineLevel="0" collapsed="false">
      <c r="B411" s="0" t="str">
        <f aca="false">HYPERLINK("https://genome.ucsc.edu/cgi-bin/hgTracks?db=hg19&amp;position=chr10%3A60380719%2D60380719", "chr10:60380719")</f>
        <v>chr10:60380719</v>
      </c>
      <c r="C411" s="0" t="s">
        <v>199</v>
      </c>
      <c r="D411" s="0" t="n">
        <v>60380719</v>
      </c>
      <c r="E411" s="0" t="n">
        <v>60380719</v>
      </c>
      <c r="F411" s="0" t="s">
        <v>57</v>
      </c>
      <c r="G411" s="0" t="s">
        <v>69</v>
      </c>
      <c r="H411" s="0" t="s">
        <v>1225</v>
      </c>
      <c r="I411" s="0" t="s">
        <v>413</v>
      </c>
      <c r="J411" s="0" t="s">
        <v>2292</v>
      </c>
      <c r="K411" s="0" t="s">
        <v>46</v>
      </c>
      <c r="L411" s="0" t="str">
        <f aca="false">HYPERLINK("https://www.ncbi.nlm.nih.gov/snp/rs867768899", "rs867768899")</f>
        <v>rs867768899</v>
      </c>
      <c r="M411" s="0" t="str">
        <f aca="false">HYPERLINK("https://www.genecards.org/Search/Keyword?queryString=%5Baliases%5D(%20BICC1%20)&amp;keywords=BICC1", "BICC1")</f>
        <v>BICC1</v>
      </c>
      <c r="N411" s="0" t="s">
        <v>62</v>
      </c>
      <c r="O411" s="0" t="s">
        <v>46</v>
      </c>
      <c r="P411" s="0" t="s">
        <v>46</v>
      </c>
      <c r="Q411" s="0" t="n">
        <v>0.0009</v>
      </c>
      <c r="R411" s="0" t="n">
        <v>-1</v>
      </c>
      <c r="S411" s="0" t="n">
        <v>-1</v>
      </c>
      <c r="T411" s="0" t="n">
        <v>-1</v>
      </c>
      <c r="U411" s="0" t="n">
        <v>-1</v>
      </c>
      <c r="V411" s="0" t="s">
        <v>46</v>
      </c>
      <c r="W411" s="0" t="s">
        <v>46</v>
      </c>
      <c r="X411" s="0" t="s">
        <v>999</v>
      </c>
      <c r="Y411" s="0" t="s">
        <v>64</v>
      </c>
      <c r="Z411" s="0" t="s">
        <v>46</v>
      </c>
      <c r="AA411" s="0" t="s">
        <v>46</v>
      </c>
      <c r="AB411" s="0" t="s">
        <v>46</v>
      </c>
      <c r="AC411" s="0" t="s">
        <v>51</v>
      </c>
      <c r="AD411" s="0" t="s">
        <v>52</v>
      </c>
      <c r="AE411" s="0" t="s">
        <v>2293</v>
      </c>
      <c r="AF411" s="0" t="s">
        <v>2294</v>
      </c>
      <c r="AG411" s="0" t="s">
        <v>2295</v>
      </c>
      <c r="AH411" s="0" t="s">
        <v>2296</v>
      </c>
      <c r="AI411" s="0" t="s">
        <v>46</v>
      </c>
      <c r="AJ411" s="0" t="s">
        <v>46</v>
      </c>
      <c r="AK411" s="0" t="s">
        <v>46</v>
      </c>
      <c r="AL411" s="0" t="s">
        <v>46</v>
      </c>
    </row>
    <row r="412" customFormat="false" ht="15" hidden="false" customHeight="false" outlineLevel="0" collapsed="false">
      <c r="B412" s="0" t="str">
        <f aca="false">HYPERLINK("https://genome.ucsc.edu/cgi-bin/hgTracks?db=hg19&amp;position=chr10%3A72468261%2D72468261", "chr10:72468261")</f>
        <v>chr10:72468261</v>
      </c>
      <c r="C412" s="0" t="s">
        <v>199</v>
      </c>
      <c r="D412" s="0" t="n">
        <v>72468261</v>
      </c>
      <c r="E412" s="0" t="n">
        <v>72468261</v>
      </c>
      <c r="F412" s="0" t="s">
        <v>69</v>
      </c>
      <c r="G412" s="0" t="s">
        <v>57</v>
      </c>
      <c r="H412" s="0" t="s">
        <v>2297</v>
      </c>
      <c r="I412" s="0" t="s">
        <v>1292</v>
      </c>
      <c r="J412" s="0" t="s">
        <v>2298</v>
      </c>
      <c r="K412" s="0" t="s">
        <v>46</v>
      </c>
      <c r="L412" s="0" t="str">
        <f aca="false">HYPERLINK("https://www.ncbi.nlm.nih.gov/snp/rs80099807", "rs80099807")</f>
        <v>rs80099807</v>
      </c>
      <c r="M412" s="0" t="str">
        <f aca="false">HYPERLINK("https://www.genecards.org/Search/Keyword?queryString=%5Baliases%5D(%20ADAMTS14%20)&amp;keywords=ADAMTS14", "ADAMTS14")</f>
        <v>ADAMTS14</v>
      </c>
      <c r="N412" s="0" t="s">
        <v>62</v>
      </c>
      <c r="O412" s="0" t="s">
        <v>46</v>
      </c>
      <c r="P412" s="0" t="s">
        <v>46</v>
      </c>
      <c r="Q412" s="0" t="n">
        <v>0.0288</v>
      </c>
      <c r="R412" s="0" t="n">
        <v>0.0266</v>
      </c>
      <c r="S412" s="0" t="n">
        <v>0.0284</v>
      </c>
      <c r="T412" s="0" t="n">
        <v>-1</v>
      </c>
      <c r="U412" s="0" t="n">
        <v>0.0295</v>
      </c>
      <c r="V412" s="0" t="s">
        <v>46</v>
      </c>
      <c r="W412" s="0" t="s">
        <v>46</v>
      </c>
      <c r="X412" s="0" t="s">
        <v>2255</v>
      </c>
      <c r="Y412" s="0" t="s">
        <v>64</v>
      </c>
      <c r="Z412" s="0" t="s">
        <v>46</v>
      </c>
      <c r="AA412" s="0" t="s">
        <v>46</v>
      </c>
      <c r="AB412" s="0" t="s">
        <v>46</v>
      </c>
      <c r="AC412" s="0" t="s">
        <v>51</v>
      </c>
      <c r="AD412" s="0" t="s">
        <v>52</v>
      </c>
      <c r="AE412" s="0" t="s">
        <v>2299</v>
      </c>
      <c r="AF412" s="0" t="s">
        <v>2300</v>
      </c>
      <c r="AG412" s="0" t="s">
        <v>2301</v>
      </c>
      <c r="AH412" s="0" t="s">
        <v>46</v>
      </c>
      <c r="AI412" s="0" t="s">
        <v>46</v>
      </c>
      <c r="AJ412" s="0" t="s">
        <v>46</v>
      </c>
      <c r="AK412" s="0" t="s">
        <v>46</v>
      </c>
      <c r="AL412" s="0" t="s">
        <v>46</v>
      </c>
    </row>
    <row r="413" customFormat="false" ht="15" hidden="false" customHeight="false" outlineLevel="0" collapsed="false">
      <c r="B413" s="0" t="str">
        <f aca="false">HYPERLINK("https://genome.ucsc.edu/cgi-bin/hgTracks?db=hg19&amp;position=chr10%3A75565225%2D75565225", "chr10:75565225")</f>
        <v>chr10:75565225</v>
      </c>
      <c r="C413" s="0" t="s">
        <v>199</v>
      </c>
      <c r="D413" s="0" t="n">
        <v>75565225</v>
      </c>
      <c r="E413" s="0" t="n">
        <v>75565225</v>
      </c>
      <c r="F413" s="0" t="s">
        <v>40</v>
      </c>
      <c r="G413" s="0" t="s">
        <v>39</v>
      </c>
      <c r="H413" s="0" t="s">
        <v>2302</v>
      </c>
      <c r="I413" s="0" t="s">
        <v>421</v>
      </c>
      <c r="J413" s="0" t="s">
        <v>422</v>
      </c>
      <c r="K413" s="0" t="s">
        <v>46</v>
      </c>
      <c r="L413" s="0" t="str">
        <f aca="false">HYPERLINK("https://www.ncbi.nlm.nih.gov/snp/rs753670574", "rs753670574")</f>
        <v>rs753670574</v>
      </c>
      <c r="M413" s="0" t="str">
        <f aca="false">HYPERLINK("https://www.genecards.org/Search/Keyword?queryString=%5Baliases%5D(%20NDST2%20)&amp;keywords=NDST2", "NDST2")</f>
        <v>NDST2</v>
      </c>
      <c r="N413" s="0" t="s">
        <v>62</v>
      </c>
      <c r="O413" s="0" t="s">
        <v>46</v>
      </c>
      <c r="P413" s="0" t="s">
        <v>46</v>
      </c>
      <c r="Q413" s="0" t="n">
        <v>0.0032</v>
      </c>
      <c r="R413" s="0" t="n">
        <v>0.0042</v>
      </c>
      <c r="S413" s="0" t="n">
        <v>0.0031</v>
      </c>
      <c r="T413" s="0" t="n">
        <v>-1</v>
      </c>
      <c r="U413" s="0" t="n">
        <v>0.0064</v>
      </c>
      <c r="V413" s="0" t="s">
        <v>46</v>
      </c>
      <c r="W413" s="0" t="s">
        <v>46</v>
      </c>
      <c r="X413" s="0" t="s">
        <v>2255</v>
      </c>
      <c r="Y413" s="0" t="s">
        <v>64</v>
      </c>
      <c r="Z413" s="0" t="s">
        <v>46</v>
      </c>
      <c r="AA413" s="0" t="s">
        <v>46</v>
      </c>
      <c r="AB413" s="0" t="s">
        <v>46</v>
      </c>
      <c r="AC413" s="0" t="s">
        <v>51</v>
      </c>
      <c r="AD413" s="0" t="s">
        <v>52</v>
      </c>
      <c r="AE413" s="0" t="s">
        <v>2303</v>
      </c>
      <c r="AF413" s="0" t="s">
        <v>2304</v>
      </c>
      <c r="AG413" s="0" t="s">
        <v>2305</v>
      </c>
      <c r="AH413" s="0" t="s">
        <v>46</v>
      </c>
      <c r="AI413" s="0" t="s">
        <v>46</v>
      </c>
      <c r="AJ413" s="0" t="s">
        <v>46</v>
      </c>
      <c r="AK413" s="0" t="s">
        <v>46</v>
      </c>
      <c r="AL413" s="0" t="s">
        <v>46</v>
      </c>
    </row>
    <row r="414" customFormat="false" ht="15" hidden="false" customHeight="false" outlineLevel="0" collapsed="false">
      <c r="B414" s="0" t="str">
        <f aca="false">HYPERLINK("https://genome.ucsc.edu/cgi-bin/hgTracks?db=hg19&amp;position=chr10%3A97082498%2D97082498", "chr10:97082498")</f>
        <v>chr10:97082498</v>
      </c>
      <c r="C414" s="0" t="s">
        <v>199</v>
      </c>
      <c r="D414" s="0" t="n">
        <v>97082498</v>
      </c>
      <c r="E414" s="0" t="n">
        <v>97082498</v>
      </c>
      <c r="F414" s="0" t="s">
        <v>39</v>
      </c>
      <c r="G414" s="0" t="s">
        <v>57</v>
      </c>
      <c r="H414" s="0" t="s">
        <v>177</v>
      </c>
      <c r="I414" s="0" t="s">
        <v>178</v>
      </c>
      <c r="J414" s="0" t="s">
        <v>179</v>
      </c>
      <c r="K414" s="0" t="s">
        <v>46</v>
      </c>
      <c r="L414" s="0" t="s">
        <v>46</v>
      </c>
      <c r="M414" s="0" t="str">
        <f aca="false">HYPERLINK("https://www.genecards.org/Search/Keyword?queryString=%5Baliases%5D(%20SORBS1%20)&amp;keywords=SORBS1", "SORBS1")</f>
        <v>SORBS1</v>
      </c>
      <c r="N414" s="0" t="s">
        <v>62</v>
      </c>
      <c r="O414" s="0" t="s">
        <v>46</v>
      </c>
      <c r="P414" s="0" t="s">
        <v>46</v>
      </c>
      <c r="Q414" s="0" t="n">
        <v>-1</v>
      </c>
      <c r="R414" s="0" t="n">
        <v>-1</v>
      </c>
      <c r="S414" s="0" t="n">
        <v>-1</v>
      </c>
      <c r="T414" s="0" t="n">
        <v>-1</v>
      </c>
      <c r="U414" s="0" t="n">
        <v>-1</v>
      </c>
      <c r="V414" s="0" t="s">
        <v>46</v>
      </c>
      <c r="W414" s="0" t="s">
        <v>40</v>
      </c>
      <c r="X414" s="0" t="s">
        <v>999</v>
      </c>
      <c r="Y414" s="0" t="s">
        <v>2214</v>
      </c>
      <c r="Z414" s="0" t="s">
        <v>46</v>
      </c>
      <c r="AA414" s="0" t="s">
        <v>46</v>
      </c>
      <c r="AB414" s="0" t="s">
        <v>46</v>
      </c>
      <c r="AC414" s="0" t="s">
        <v>51</v>
      </c>
      <c r="AD414" s="0" t="s">
        <v>52</v>
      </c>
      <c r="AE414" s="0" t="s">
        <v>2306</v>
      </c>
      <c r="AF414" s="0" t="s">
        <v>2307</v>
      </c>
      <c r="AG414" s="0" t="s">
        <v>2308</v>
      </c>
      <c r="AH414" s="0" t="s">
        <v>46</v>
      </c>
      <c r="AI414" s="0" t="s">
        <v>46</v>
      </c>
      <c r="AJ414" s="0" t="s">
        <v>46</v>
      </c>
      <c r="AK414" s="0" t="s">
        <v>46</v>
      </c>
      <c r="AL414" s="0" t="s">
        <v>46</v>
      </c>
    </row>
    <row r="415" customFormat="false" ht="15" hidden="false" customHeight="false" outlineLevel="0" collapsed="false">
      <c r="B415" s="0" t="str">
        <f aca="false">HYPERLINK("https://genome.ucsc.edu/cgi-bin/hgTracks?db=hg19&amp;position=chr10%3A126691933%2D126691934", "chr10:126691933")</f>
        <v>chr10:126691933</v>
      </c>
      <c r="C415" s="0" t="s">
        <v>199</v>
      </c>
      <c r="D415" s="0" t="n">
        <v>126691933</v>
      </c>
      <c r="E415" s="0" t="n">
        <v>126691934</v>
      </c>
      <c r="F415" s="0" t="s">
        <v>2309</v>
      </c>
      <c r="G415" s="0" t="s">
        <v>200</v>
      </c>
      <c r="H415" s="0" t="s">
        <v>2310</v>
      </c>
      <c r="I415" s="0" t="s">
        <v>611</v>
      </c>
      <c r="J415" s="0" t="s">
        <v>2311</v>
      </c>
      <c r="K415" s="0" t="s">
        <v>46</v>
      </c>
      <c r="L415" s="0" t="s">
        <v>46</v>
      </c>
      <c r="M415" s="0" t="str">
        <f aca="false">HYPERLINK("https://www.genecards.org/Search/Keyword?queryString=%5Baliases%5D(%20CTBP2%20)&amp;keywords=CTBP2", "CTBP2")</f>
        <v>CTBP2</v>
      </c>
      <c r="N415" s="0" t="s">
        <v>98</v>
      </c>
      <c r="O415" s="0" t="s">
        <v>2265</v>
      </c>
      <c r="P415" s="0" t="s">
        <v>2312</v>
      </c>
      <c r="Q415" s="0" t="n">
        <v>-1</v>
      </c>
      <c r="R415" s="0" t="n">
        <v>-1</v>
      </c>
      <c r="S415" s="0" t="n">
        <v>-1</v>
      </c>
      <c r="T415" s="0" t="n">
        <v>-1</v>
      </c>
      <c r="U415" s="0" t="n">
        <v>-1</v>
      </c>
      <c r="V415" s="0" t="s">
        <v>46</v>
      </c>
      <c r="W415" s="0" t="s">
        <v>46</v>
      </c>
      <c r="X415" s="0" t="s">
        <v>46</v>
      </c>
      <c r="Y415" s="0" t="s">
        <v>46</v>
      </c>
      <c r="Z415" s="0" t="s">
        <v>46</v>
      </c>
      <c r="AA415" s="0" t="s">
        <v>46</v>
      </c>
      <c r="AB415" s="0" t="s">
        <v>46</v>
      </c>
      <c r="AC415" s="0" t="s">
        <v>51</v>
      </c>
      <c r="AD415" s="0" t="s">
        <v>689</v>
      </c>
      <c r="AE415" s="0" t="s">
        <v>690</v>
      </c>
      <c r="AF415" s="0" t="s">
        <v>691</v>
      </c>
      <c r="AG415" s="0" t="s">
        <v>692</v>
      </c>
      <c r="AH415" s="0" t="s">
        <v>46</v>
      </c>
      <c r="AI415" s="0" t="s">
        <v>46</v>
      </c>
      <c r="AJ415" s="0" t="s">
        <v>46</v>
      </c>
      <c r="AK415" s="0" t="s">
        <v>46</v>
      </c>
      <c r="AL415" s="0" t="s">
        <v>46</v>
      </c>
    </row>
    <row r="416" customFormat="false" ht="15" hidden="false" customHeight="false" outlineLevel="0" collapsed="false">
      <c r="B416" s="0" t="str">
        <f aca="false">HYPERLINK("https://genome.ucsc.edu/cgi-bin/hgTracks?db=hg19&amp;position=chr10%3A126692023%2D126692023", "chr10:126692023")</f>
        <v>chr10:126692023</v>
      </c>
      <c r="C416" s="0" t="s">
        <v>199</v>
      </c>
      <c r="D416" s="0" t="n">
        <v>126692023</v>
      </c>
      <c r="E416" s="0" t="n">
        <v>126692023</v>
      </c>
      <c r="F416" s="0" t="s">
        <v>69</v>
      </c>
      <c r="G416" s="0" t="s">
        <v>200</v>
      </c>
      <c r="H416" s="0" t="s">
        <v>2264</v>
      </c>
      <c r="I416" s="0" t="s">
        <v>689</v>
      </c>
      <c r="J416" s="0" t="s">
        <v>813</v>
      </c>
      <c r="K416" s="0" t="s">
        <v>46</v>
      </c>
      <c r="L416" s="0" t="s">
        <v>46</v>
      </c>
      <c r="M416" s="0" t="str">
        <f aca="false">HYPERLINK("https://www.genecards.org/Search/Keyword?queryString=%5Baliases%5D(%20CTBP2%20)&amp;keywords=CTBP2", "CTBP2")</f>
        <v>CTBP2</v>
      </c>
      <c r="N416" s="0" t="s">
        <v>98</v>
      </c>
      <c r="O416" s="0" t="s">
        <v>2265</v>
      </c>
      <c r="P416" s="0" t="s">
        <v>2313</v>
      </c>
      <c r="Q416" s="0" t="n">
        <v>-1</v>
      </c>
      <c r="R416" s="0" t="n">
        <v>-1</v>
      </c>
      <c r="S416" s="0" t="n">
        <v>-1</v>
      </c>
      <c r="T416" s="0" t="n">
        <v>-1</v>
      </c>
      <c r="U416" s="0" t="n">
        <v>-1</v>
      </c>
      <c r="V416" s="0" t="s">
        <v>46</v>
      </c>
      <c r="W416" s="0" t="s">
        <v>46</v>
      </c>
      <c r="X416" s="0" t="s">
        <v>46</v>
      </c>
      <c r="Y416" s="0" t="s">
        <v>46</v>
      </c>
      <c r="Z416" s="0" t="s">
        <v>46</v>
      </c>
      <c r="AA416" s="0" t="s">
        <v>46</v>
      </c>
      <c r="AB416" s="0" t="s">
        <v>46</v>
      </c>
      <c r="AC416" s="0" t="s">
        <v>51</v>
      </c>
      <c r="AD416" s="0" t="s">
        <v>689</v>
      </c>
      <c r="AE416" s="0" t="s">
        <v>690</v>
      </c>
      <c r="AF416" s="0" t="s">
        <v>691</v>
      </c>
      <c r="AG416" s="0" t="s">
        <v>692</v>
      </c>
      <c r="AH416" s="0" t="s">
        <v>46</v>
      </c>
      <c r="AI416" s="0" t="s">
        <v>46</v>
      </c>
      <c r="AJ416" s="0" t="s">
        <v>46</v>
      </c>
      <c r="AK416" s="0" t="s">
        <v>46</v>
      </c>
      <c r="AL416" s="0" t="s">
        <v>46</v>
      </c>
    </row>
    <row r="417" customFormat="false" ht="15" hidden="false" customHeight="false" outlineLevel="0" collapsed="false">
      <c r="B417" s="0" t="str">
        <f aca="false">HYPERLINK("https://genome.ucsc.edu/cgi-bin/hgTracks?db=hg19&amp;position=chr10%3A126727615%2D126727615", "chr10:126727615")</f>
        <v>chr10:126727615</v>
      </c>
      <c r="C417" s="0" t="s">
        <v>199</v>
      </c>
      <c r="D417" s="0" t="n">
        <v>126727615</v>
      </c>
      <c r="E417" s="0" t="n">
        <v>126727615</v>
      </c>
      <c r="F417" s="0" t="s">
        <v>57</v>
      </c>
      <c r="G417" s="0" t="s">
        <v>200</v>
      </c>
      <c r="H417" s="0" t="s">
        <v>2314</v>
      </c>
      <c r="I417" s="0" t="s">
        <v>638</v>
      </c>
      <c r="J417" s="0" t="s">
        <v>2315</v>
      </c>
      <c r="K417" s="0" t="s">
        <v>46</v>
      </c>
      <c r="L417" s="0" t="str">
        <f aca="false">HYPERLINK("https://www.ncbi.nlm.nih.gov/snp/rs144283283", "rs144283283")</f>
        <v>rs144283283</v>
      </c>
      <c r="M417" s="0" t="str">
        <f aca="false">HYPERLINK("https://www.genecards.org/Search/Keyword?queryString=%5Baliases%5D(%20CTBP2%20)&amp;keywords=CTBP2", "CTBP2")</f>
        <v>CTBP2</v>
      </c>
      <c r="N417" s="0" t="s">
        <v>98</v>
      </c>
      <c r="O417" s="0" t="s">
        <v>2265</v>
      </c>
      <c r="P417" s="0" t="s">
        <v>2316</v>
      </c>
      <c r="Q417" s="0" t="n">
        <v>6.5E-006</v>
      </c>
      <c r="R417" s="0" t="n">
        <v>-1</v>
      </c>
      <c r="S417" s="0" t="n">
        <v>-1</v>
      </c>
      <c r="T417" s="0" t="n">
        <v>-1</v>
      </c>
      <c r="U417" s="0" t="n">
        <v>-1</v>
      </c>
      <c r="V417" s="0" t="s">
        <v>46</v>
      </c>
      <c r="W417" s="0" t="s">
        <v>46</v>
      </c>
      <c r="X417" s="0" t="s">
        <v>46</v>
      </c>
      <c r="Y417" s="0" t="s">
        <v>46</v>
      </c>
      <c r="Z417" s="0" t="s">
        <v>46</v>
      </c>
      <c r="AA417" s="0" t="s">
        <v>46</v>
      </c>
      <c r="AB417" s="0" t="s">
        <v>46</v>
      </c>
      <c r="AC417" s="0" t="s">
        <v>51</v>
      </c>
      <c r="AD417" s="0" t="s">
        <v>689</v>
      </c>
      <c r="AE417" s="0" t="s">
        <v>690</v>
      </c>
      <c r="AF417" s="0" t="s">
        <v>691</v>
      </c>
      <c r="AG417" s="0" t="s">
        <v>692</v>
      </c>
      <c r="AH417" s="0" t="s">
        <v>46</v>
      </c>
      <c r="AI417" s="0" t="s">
        <v>46</v>
      </c>
      <c r="AJ417" s="0" t="s">
        <v>46</v>
      </c>
      <c r="AK417" s="0" t="s">
        <v>46</v>
      </c>
      <c r="AL417" s="0" t="s">
        <v>46</v>
      </c>
    </row>
    <row r="418" customFormat="false" ht="15" hidden="false" customHeight="false" outlineLevel="0" collapsed="false">
      <c r="B418" s="0" t="str">
        <f aca="false">HYPERLINK("https://genome.ucsc.edu/cgi-bin/hgTracks?db=hg19&amp;position=chr11%3A621063%2D621063", "chr11:621063")</f>
        <v>chr11:621063</v>
      </c>
      <c r="C418" s="0" t="s">
        <v>38</v>
      </c>
      <c r="D418" s="0" t="n">
        <v>621063</v>
      </c>
      <c r="E418" s="0" t="n">
        <v>621063</v>
      </c>
      <c r="F418" s="0" t="s">
        <v>39</v>
      </c>
      <c r="G418" s="0" t="s">
        <v>40</v>
      </c>
      <c r="H418" s="0" t="s">
        <v>2317</v>
      </c>
      <c r="I418" s="0" t="s">
        <v>527</v>
      </c>
      <c r="J418" s="0" t="s">
        <v>2318</v>
      </c>
      <c r="K418" s="0" t="s">
        <v>46</v>
      </c>
      <c r="L418" s="0" t="str">
        <f aca="false">HYPERLINK("https://www.ncbi.nlm.nih.gov/snp/rs181292844", "rs181292844")</f>
        <v>rs181292844</v>
      </c>
      <c r="M418" s="0" t="str">
        <f aca="false">HYPERLINK("https://www.genecards.org/Search/Keyword?queryString=%5Baliases%5D(%20CDHR5%20)&amp;keywords=CDHR5", "CDHR5")</f>
        <v>CDHR5</v>
      </c>
      <c r="N418" s="0" t="s">
        <v>62</v>
      </c>
      <c r="O418" s="0" t="s">
        <v>46</v>
      </c>
      <c r="P418" s="0" t="s">
        <v>46</v>
      </c>
      <c r="Q418" s="0" t="n">
        <v>0.0099</v>
      </c>
      <c r="R418" s="0" t="n">
        <v>0.0053</v>
      </c>
      <c r="S418" s="0" t="n">
        <v>0.0068</v>
      </c>
      <c r="T418" s="0" t="n">
        <v>-1</v>
      </c>
      <c r="U418" s="0" t="n">
        <v>0.0041</v>
      </c>
      <c r="V418" s="0" t="s">
        <v>46</v>
      </c>
      <c r="W418" s="0" t="s">
        <v>46</v>
      </c>
      <c r="X418" s="0" t="s">
        <v>2255</v>
      </c>
      <c r="Y418" s="0" t="s">
        <v>64</v>
      </c>
      <c r="Z418" s="0" t="s">
        <v>46</v>
      </c>
      <c r="AA418" s="0" t="s">
        <v>46</v>
      </c>
      <c r="AB418" s="0" t="s">
        <v>46</v>
      </c>
      <c r="AC418" s="0" t="s">
        <v>51</v>
      </c>
      <c r="AD418" s="0" t="s">
        <v>52</v>
      </c>
      <c r="AE418" s="0" t="s">
        <v>2319</v>
      </c>
      <c r="AF418" s="0" t="s">
        <v>2320</v>
      </c>
      <c r="AG418" s="0" t="s">
        <v>2321</v>
      </c>
      <c r="AH418" s="0" t="s">
        <v>46</v>
      </c>
      <c r="AI418" s="0" t="s">
        <v>46</v>
      </c>
      <c r="AJ418" s="0" t="s">
        <v>46</v>
      </c>
      <c r="AK418" s="0" t="s">
        <v>46</v>
      </c>
      <c r="AL418" s="0" t="s">
        <v>46</v>
      </c>
    </row>
    <row r="419" customFormat="false" ht="15" hidden="false" customHeight="false" outlineLevel="0" collapsed="false">
      <c r="B419" s="0" t="str">
        <f aca="false">HYPERLINK("https://genome.ucsc.edu/cgi-bin/hgTracks?db=hg19&amp;position=chr11%3A1908641%2D1908641", "chr11:1908641")</f>
        <v>chr11:1908641</v>
      </c>
      <c r="C419" s="0" t="s">
        <v>38</v>
      </c>
      <c r="D419" s="0" t="n">
        <v>1908641</v>
      </c>
      <c r="E419" s="0" t="n">
        <v>1908641</v>
      </c>
      <c r="F419" s="0" t="s">
        <v>39</v>
      </c>
      <c r="G419" s="0" t="s">
        <v>40</v>
      </c>
      <c r="H419" s="0" t="s">
        <v>2322</v>
      </c>
      <c r="I419" s="0" t="s">
        <v>631</v>
      </c>
      <c r="J419" s="0" t="s">
        <v>2323</v>
      </c>
      <c r="K419" s="0" t="s">
        <v>46</v>
      </c>
      <c r="L419" s="0" t="str">
        <f aca="false">HYPERLINK("https://www.ncbi.nlm.nih.gov/snp/rs144344717", "rs144344717")</f>
        <v>rs144344717</v>
      </c>
      <c r="M419" s="0" t="str">
        <f aca="false">HYPERLINK("https://www.genecards.org/Search/Keyword?queryString=%5Baliases%5D(%20LSP1%20)&amp;keywords=LSP1", "LSP1")</f>
        <v>LSP1</v>
      </c>
      <c r="N419" s="0" t="s">
        <v>62</v>
      </c>
      <c r="O419" s="0" t="s">
        <v>46</v>
      </c>
      <c r="P419" s="0" t="s">
        <v>46</v>
      </c>
      <c r="Q419" s="0" t="n">
        <v>0.0094</v>
      </c>
      <c r="R419" s="0" t="n">
        <v>0.0099</v>
      </c>
      <c r="S419" s="0" t="n">
        <v>0.0108</v>
      </c>
      <c r="T419" s="0" t="n">
        <v>-1</v>
      </c>
      <c r="U419" s="0" t="n">
        <v>0.0076</v>
      </c>
      <c r="V419" s="0" t="s">
        <v>46</v>
      </c>
      <c r="W419" s="0" t="s">
        <v>46</v>
      </c>
      <c r="X419" s="0" t="s">
        <v>999</v>
      </c>
      <c r="Y419" s="0" t="s">
        <v>64</v>
      </c>
      <c r="Z419" s="0" t="s">
        <v>46</v>
      </c>
      <c r="AA419" s="0" t="s">
        <v>46</v>
      </c>
      <c r="AB419" s="0" t="s">
        <v>46</v>
      </c>
      <c r="AC419" s="0" t="s">
        <v>51</v>
      </c>
      <c r="AD419" s="0" t="s">
        <v>52</v>
      </c>
      <c r="AE419" s="0" t="s">
        <v>2324</v>
      </c>
      <c r="AF419" s="0" t="s">
        <v>2325</v>
      </c>
      <c r="AG419" s="0" t="s">
        <v>2326</v>
      </c>
      <c r="AH419" s="0" t="s">
        <v>46</v>
      </c>
      <c r="AI419" s="0" t="s">
        <v>46</v>
      </c>
      <c r="AJ419" s="0" t="s">
        <v>46</v>
      </c>
      <c r="AK419" s="0" t="s">
        <v>46</v>
      </c>
      <c r="AL419" s="0" t="s">
        <v>46</v>
      </c>
    </row>
    <row r="420" customFormat="false" ht="15" hidden="false" customHeight="false" outlineLevel="0" collapsed="false">
      <c r="B420" s="0" t="str">
        <f aca="false">HYPERLINK("https://genome.ucsc.edu/cgi-bin/hgTracks?db=hg19&amp;position=chr11%3A6637742%2D6637743", "chr11:6637742")</f>
        <v>chr11:6637742</v>
      </c>
      <c r="C420" s="0" t="s">
        <v>38</v>
      </c>
      <c r="D420" s="0" t="n">
        <v>6637742</v>
      </c>
      <c r="E420" s="0" t="n">
        <v>6637743</v>
      </c>
      <c r="F420" s="0" t="s">
        <v>2327</v>
      </c>
      <c r="G420" s="0" t="s">
        <v>200</v>
      </c>
      <c r="H420" s="0" t="s">
        <v>2328</v>
      </c>
      <c r="I420" s="0" t="s">
        <v>1494</v>
      </c>
      <c r="J420" s="0" t="s">
        <v>2329</v>
      </c>
      <c r="K420" s="0" t="s">
        <v>46</v>
      </c>
      <c r="L420" s="0" t="s">
        <v>46</v>
      </c>
      <c r="M420" s="0" t="str">
        <f aca="false">HYPERLINK("https://www.genecards.org/Search/Keyword?queryString=%5Baliases%5D(%20TPP1%20)&amp;keywords=TPP1", "TPP1")</f>
        <v>TPP1</v>
      </c>
      <c r="N420" s="0" t="s">
        <v>1261</v>
      </c>
      <c r="O420" s="0" t="s">
        <v>46</v>
      </c>
      <c r="P420" s="0" t="s">
        <v>46</v>
      </c>
      <c r="Q420" s="0" t="n">
        <v>-1</v>
      </c>
      <c r="R420" s="0" t="n">
        <v>-1</v>
      </c>
      <c r="S420" s="0" t="n">
        <v>-1</v>
      </c>
      <c r="T420" s="0" t="n">
        <v>-1</v>
      </c>
      <c r="U420" s="0" t="n">
        <v>-1</v>
      </c>
      <c r="V420" s="0" t="s">
        <v>46</v>
      </c>
      <c r="W420" s="0" t="s">
        <v>46</v>
      </c>
      <c r="X420" s="0" t="s">
        <v>46</v>
      </c>
      <c r="Y420" s="0" t="s">
        <v>46</v>
      </c>
      <c r="Z420" s="0" t="s">
        <v>46</v>
      </c>
      <c r="AA420" s="0" t="s">
        <v>46</v>
      </c>
      <c r="AB420" s="0" t="s">
        <v>46</v>
      </c>
      <c r="AC420" s="0" t="s">
        <v>207</v>
      </c>
      <c r="AD420" s="0" t="s">
        <v>52</v>
      </c>
      <c r="AE420" s="0" t="s">
        <v>2330</v>
      </c>
      <c r="AF420" s="0" t="s">
        <v>2331</v>
      </c>
      <c r="AG420" s="0" t="s">
        <v>2332</v>
      </c>
      <c r="AH420" s="0" t="s">
        <v>2333</v>
      </c>
      <c r="AI420" s="0" t="s">
        <v>46</v>
      </c>
      <c r="AJ420" s="0" t="s">
        <v>46</v>
      </c>
      <c r="AK420" s="0" t="s">
        <v>46</v>
      </c>
      <c r="AL420" s="0" t="s">
        <v>46</v>
      </c>
    </row>
    <row r="421" customFormat="false" ht="15" hidden="false" customHeight="false" outlineLevel="0" collapsed="false">
      <c r="B421" s="0" t="str">
        <f aca="false">HYPERLINK("https://genome.ucsc.edu/cgi-bin/hgTracks?db=hg19&amp;position=chr11%3A18357299%2D18357299", "chr11:18357299")</f>
        <v>chr11:18357299</v>
      </c>
      <c r="C421" s="0" t="s">
        <v>38</v>
      </c>
      <c r="D421" s="0" t="n">
        <v>18357299</v>
      </c>
      <c r="E421" s="0" t="n">
        <v>18357299</v>
      </c>
      <c r="F421" s="0" t="s">
        <v>57</v>
      </c>
      <c r="G421" s="0" t="s">
        <v>69</v>
      </c>
      <c r="H421" s="0" t="s">
        <v>860</v>
      </c>
      <c r="I421" s="0" t="s">
        <v>311</v>
      </c>
      <c r="J421" s="0" t="s">
        <v>1141</v>
      </c>
      <c r="K421" s="0" t="s">
        <v>46</v>
      </c>
      <c r="L421" s="0" t="s">
        <v>46</v>
      </c>
      <c r="M421" s="0" t="str">
        <f aca="false">HYPERLINK("https://www.genecards.org/Search/Keyword?queryString=%5Baliases%5D(%20GTF2H1%20)&amp;keywords=GTF2H1", "GTF2H1")</f>
        <v>GTF2H1</v>
      </c>
      <c r="N421" s="0" t="s">
        <v>205</v>
      </c>
      <c r="O421" s="0" t="s">
        <v>46</v>
      </c>
      <c r="P421" s="0" t="s">
        <v>2334</v>
      </c>
      <c r="Q421" s="0" t="n">
        <v>-1</v>
      </c>
      <c r="R421" s="0" t="n">
        <v>-1</v>
      </c>
      <c r="S421" s="0" t="n">
        <v>-1</v>
      </c>
      <c r="T421" s="0" t="n">
        <v>-1</v>
      </c>
      <c r="U421" s="0" t="n">
        <v>-1</v>
      </c>
      <c r="V421" s="0" t="s">
        <v>827</v>
      </c>
      <c r="W421" s="0" t="s">
        <v>999</v>
      </c>
      <c r="X421" s="0" t="s">
        <v>999</v>
      </c>
      <c r="Y421" s="0" t="s">
        <v>2214</v>
      </c>
      <c r="Z421" s="0" t="s">
        <v>481</v>
      </c>
      <c r="AA421" s="0" t="s">
        <v>46</v>
      </c>
      <c r="AB421" s="0" t="s">
        <v>46</v>
      </c>
      <c r="AC421" s="0" t="s">
        <v>51</v>
      </c>
      <c r="AD421" s="0" t="s">
        <v>52</v>
      </c>
      <c r="AE421" s="0" t="s">
        <v>2335</v>
      </c>
      <c r="AF421" s="0" t="s">
        <v>2336</v>
      </c>
      <c r="AG421" s="0" t="s">
        <v>2337</v>
      </c>
      <c r="AH421" s="0" t="s">
        <v>46</v>
      </c>
      <c r="AI421" s="0" t="s">
        <v>46</v>
      </c>
      <c r="AJ421" s="0" t="s">
        <v>46</v>
      </c>
      <c r="AK421" s="0" t="s">
        <v>46</v>
      </c>
      <c r="AL421" s="0" t="s">
        <v>46</v>
      </c>
    </row>
    <row r="422" customFormat="false" ht="15" hidden="false" customHeight="false" outlineLevel="0" collapsed="false">
      <c r="B422" s="0" t="str">
        <f aca="false">HYPERLINK("https://genome.ucsc.edu/cgi-bin/hgTracks?db=hg19&amp;position=chr11%3A20071497%2D20071497", "chr11:20071497")</f>
        <v>chr11:20071497</v>
      </c>
      <c r="C422" s="0" t="s">
        <v>38</v>
      </c>
      <c r="D422" s="0" t="n">
        <v>20071497</v>
      </c>
      <c r="E422" s="0" t="n">
        <v>20071497</v>
      </c>
      <c r="F422" s="0" t="s">
        <v>39</v>
      </c>
      <c r="G422" s="0" t="s">
        <v>57</v>
      </c>
      <c r="H422" s="0" t="s">
        <v>2338</v>
      </c>
      <c r="I422" s="0" t="s">
        <v>535</v>
      </c>
      <c r="J422" s="0" t="s">
        <v>2339</v>
      </c>
      <c r="K422" s="0" t="s">
        <v>46</v>
      </c>
      <c r="L422" s="0" t="str">
        <f aca="false">HYPERLINK("https://www.ncbi.nlm.nih.gov/snp/rs374212284", "rs374212284")</f>
        <v>rs374212284</v>
      </c>
      <c r="M422" s="0" t="str">
        <f aca="false">HYPERLINK("https://www.genecards.org/Search/Keyword?queryString=%5Baliases%5D(%20NAV2%20)&amp;keywords=NAV2", "NAV2")</f>
        <v>NAV2</v>
      </c>
      <c r="N422" s="0" t="s">
        <v>62</v>
      </c>
      <c r="O422" s="0" t="s">
        <v>46</v>
      </c>
      <c r="P422" s="0" t="s">
        <v>46</v>
      </c>
      <c r="Q422" s="0" t="n">
        <v>0.0003</v>
      </c>
      <c r="R422" s="0" t="n">
        <v>0.0003</v>
      </c>
      <c r="S422" s="0" t="n">
        <v>0.0002</v>
      </c>
      <c r="T422" s="0" t="n">
        <v>-1</v>
      </c>
      <c r="U422" s="0" t="n">
        <v>0.0002</v>
      </c>
      <c r="V422" s="0" t="s">
        <v>46</v>
      </c>
      <c r="W422" s="0" t="s">
        <v>46</v>
      </c>
      <c r="X422" s="0" t="s">
        <v>2255</v>
      </c>
      <c r="Y422" s="0" t="s">
        <v>64</v>
      </c>
      <c r="Z422" s="0" t="s">
        <v>46</v>
      </c>
      <c r="AA422" s="0" t="s">
        <v>46</v>
      </c>
      <c r="AB422" s="0" t="s">
        <v>46</v>
      </c>
      <c r="AC422" s="0" t="s">
        <v>51</v>
      </c>
      <c r="AD422" s="0" t="s">
        <v>856</v>
      </c>
      <c r="AE422" s="0" t="s">
        <v>857</v>
      </c>
      <c r="AF422" s="0" t="s">
        <v>858</v>
      </c>
      <c r="AG422" s="0" t="s">
        <v>859</v>
      </c>
      <c r="AH422" s="0" t="s">
        <v>46</v>
      </c>
      <c r="AI422" s="0" t="s">
        <v>46</v>
      </c>
      <c r="AJ422" s="0" t="s">
        <v>46</v>
      </c>
      <c r="AK422" s="0" t="s">
        <v>46</v>
      </c>
      <c r="AL422" s="0" t="s">
        <v>46</v>
      </c>
    </row>
    <row r="423" customFormat="false" ht="15" hidden="false" customHeight="false" outlineLevel="0" collapsed="false">
      <c r="B423" s="0" t="str">
        <f aca="false">HYPERLINK("https://genome.ucsc.edu/cgi-bin/hgTracks?db=hg19&amp;position=chr11%3A20950026%2D20950026", "chr11:20950026")</f>
        <v>chr11:20950026</v>
      </c>
      <c r="C423" s="0" t="s">
        <v>38</v>
      </c>
      <c r="D423" s="0" t="n">
        <v>20950026</v>
      </c>
      <c r="E423" s="0" t="n">
        <v>20950026</v>
      </c>
      <c r="F423" s="0" t="s">
        <v>69</v>
      </c>
      <c r="G423" s="0" t="s">
        <v>57</v>
      </c>
      <c r="H423" s="0" t="s">
        <v>2340</v>
      </c>
      <c r="I423" s="0" t="s">
        <v>896</v>
      </c>
      <c r="J423" s="0" t="s">
        <v>897</v>
      </c>
      <c r="K423" s="0" t="s">
        <v>46</v>
      </c>
      <c r="L423" s="0" t="s">
        <v>46</v>
      </c>
      <c r="M423" s="0" t="str">
        <f aca="false">HYPERLINK("https://www.genecards.org/Search/Keyword?queryString=%5Baliases%5D(%20NELL1%20)&amp;keywords=NELL1", "NELL1")</f>
        <v>NELL1</v>
      </c>
      <c r="N423" s="0" t="s">
        <v>205</v>
      </c>
      <c r="O423" s="0" t="s">
        <v>46</v>
      </c>
      <c r="P423" s="0" t="s">
        <v>2341</v>
      </c>
      <c r="Q423" s="0" t="n">
        <v>0.0001</v>
      </c>
      <c r="R423" s="0" t="n">
        <v>0.0001</v>
      </c>
      <c r="S423" s="0" t="n">
        <v>0.0003</v>
      </c>
      <c r="T423" s="0" t="n">
        <v>-1</v>
      </c>
      <c r="U423" s="0" t="n">
        <v>0.0004</v>
      </c>
      <c r="V423" s="0" t="s">
        <v>827</v>
      </c>
      <c r="W423" s="0" t="s">
        <v>999</v>
      </c>
      <c r="X423" s="0" t="s">
        <v>999</v>
      </c>
      <c r="Y423" s="0" t="s">
        <v>2214</v>
      </c>
      <c r="Z423" s="0" t="s">
        <v>481</v>
      </c>
      <c r="AA423" s="0" t="s">
        <v>46</v>
      </c>
      <c r="AB423" s="0" t="s">
        <v>46</v>
      </c>
      <c r="AC423" s="0" t="s">
        <v>51</v>
      </c>
      <c r="AD423" s="0" t="s">
        <v>52</v>
      </c>
      <c r="AE423" s="0" t="s">
        <v>2342</v>
      </c>
      <c r="AF423" s="0" t="s">
        <v>2343</v>
      </c>
      <c r="AG423" s="0" t="s">
        <v>2344</v>
      </c>
      <c r="AH423" s="0" t="s">
        <v>46</v>
      </c>
      <c r="AI423" s="0" t="s">
        <v>46</v>
      </c>
      <c r="AJ423" s="0" t="s">
        <v>46</v>
      </c>
      <c r="AK423" s="0" t="s">
        <v>46</v>
      </c>
      <c r="AL423" s="0" t="s">
        <v>46</v>
      </c>
    </row>
    <row r="424" customFormat="false" ht="15" hidden="false" customHeight="false" outlineLevel="0" collapsed="false">
      <c r="B424" s="0" t="str">
        <f aca="false">HYPERLINK("https://genome.ucsc.edu/cgi-bin/hgTracks?db=hg19&amp;position=chr11%3A57098112%2D57098112", "chr11:57098112")</f>
        <v>chr11:57098112</v>
      </c>
      <c r="C424" s="0" t="s">
        <v>38</v>
      </c>
      <c r="D424" s="0" t="n">
        <v>57098112</v>
      </c>
      <c r="E424" s="0" t="n">
        <v>57098112</v>
      </c>
      <c r="F424" s="0" t="s">
        <v>39</v>
      </c>
      <c r="G424" s="0" t="s">
        <v>57</v>
      </c>
      <c r="H424" s="0" t="s">
        <v>1368</v>
      </c>
      <c r="I424" s="0" t="s">
        <v>756</v>
      </c>
      <c r="J424" s="0" t="s">
        <v>2345</v>
      </c>
      <c r="K424" s="0" t="s">
        <v>46</v>
      </c>
      <c r="L424" s="0" t="s">
        <v>46</v>
      </c>
      <c r="M424" s="0" t="str">
        <f aca="false">HYPERLINK("https://www.genecards.org/Search/Keyword?queryString=%5Baliases%5D(%20SSRP1%20)&amp;keywords=SSRP1", "SSRP1")</f>
        <v>SSRP1</v>
      </c>
      <c r="N424" s="0" t="s">
        <v>62</v>
      </c>
      <c r="O424" s="0" t="s">
        <v>46</v>
      </c>
      <c r="P424" s="0" t="s">
        <v>46</v>
      </c>
      <c r="Q424" s="0" t="n">
        <v>-1</v>
      </c>
      <c r="R424" s="0" t="n">
        <v>-1</v>
      </c>
      <c r="S424" s="0" t="n">
        <v>-1</v>
      </c>
      <c r="T424" s="0" t="n">
        <v>-1</v>
      </c>
      <c r="U424" s="0" t="n">
        <v>-1</v>
      </c>
      <c r="V424" s="0" t="s">
        <v>46</v>
      </c>
      <c r="W424" s="0" t="s">
        <v>46</v>
      </c>
      <c r="X424" s="0" t="s">
        <v>999</v>
      </c>
      <c r="Y424" s="0" t="s">
        <v>64</v>
      </c>
      <c r="Z424" s="0" t="s">
        <v>46</v>
      </c>
      <c r="AA424" s="0" t="s">
        <v>46</v>
      </c>
      <c r="AB424" s="0" t="s">
        <v>46</v>
      </c>
      <c r="AC424" s="0" t="s">
        <v>51</v>
      </c>
      <c r="AD424" s="0" t="s">
        <v>52</v>
      </c>
      <c r="AE424" s="0" t="s">
        <v>2346</v>
      </c>
      <c r="AF424" s="0" t="s">
        <v>2347</v>
      </c>
      <c r="AG424" s="0" t="s">
        <v>2348</v>
      </c>
      <c r="AH424" s="0" t="s">
        <v>46</v>
      </c>
      <c r="AI424" s="0" t="s">
        <v>46</v>
      </c>
      <c r="AJ424" s="0" t="s">
        <v>46</v>
      </c>
      <c r="AK424" s="0" t="s">
        <v>46</v>
      </c>
      <c r="AL424" s="0" t="s">
        <v>46</v>
      </c>
    </row>
    <row r="425" customFormat="false" ht="15" hidden="false" customHeight="false" outlineLevel="0" collapsed="false">
      <c r="B425" s="0" t="str">
        <f aca="false">HYPERLINK("https://genome.ucsc.edu/cgi-bin/hgTracks?db=hg19&amp;position=chr11%3A61323521%2D61323521", "chr11:61323521")</f>
        <v>chr11:61323521</v>
      </c>
      <c r="C425" s="0" t="s">
        <v>38</v>
      </c>
      <c r="D425" s="0" t="n">
        <v>61323521</v>
      </c>
      <c r="E425" s="0" t="n">
        <v>61323521</v>
      </c>
      <c r="F425" s="0" t="s">
        <v>69</v>
      </c>
      <c r="G425" s="0" t="s">
        <v>40</v>
      </c>
      <c r="H425" s="0" t="s">
        <v>2349</v>
      </c>
      <c r="I425" s="0" t="s">
        <v>1292</v>
      </c>
      <c r="J425" s="0" t="s">
        <v>2350</v>
      </c>
      <c r="K425" s="0" t="s">
        <v>46</v>
      </c>
      <c r="L425" s="0" t="str">
        <f aca="false">HYPERLINK("https://www.ncbi.nlm.nih.gov/snp/rs190727364", "rs190727364")</f>
        <v>rs190727364</v>
      </c>
      <c r="M425" s="0" t="str">
        <f aca="false">HYPERLINK("https://www.genecards.org/Search/Keyword?queryString=%5Baliases%5D(%20SYT7%20)&amp;keywords=SYT7", "SYT7")</f>
        <v>SYT7</v>
      </c>
      <c r="N425" s="0" t="s">
        <v>62</v>
      </c>
      <c r="O425" s="0" t="s">
        <v>46</v>
      </c>
      <c r="P425" s="0" t="s">
        <v>46</v>
      </c>
      <c r="Q425" s="0" t="n">
        <v>0.0286</v>
      </c>
      <c r="R425" s="0" t="n">
        <v>0.0034</v>
      </c>
      <c r="S425" s="0" t="n">
        <v>0.003</v>
      </c>
      <c r="T425" s="0" t="n">
        <v>-1</v>
      </c>
      <c r="U425" s="0" t="n">
        <v>0.0049</v>
      </c>
      <c r="V425" s="0" t="s">
        <v>46</v>
      </c>
      <c r="W425" s="0" t="s">
        <v>46</v>
      </c>
      <c r="X425" s="0" t="s">
        <v>2255</v>
      </c>
      <c r="Y425" s="0" t="s">
        <v>64</v>
      </c>
      <c r="Z425" s="0" t="s">
        <v>46</v>
      </c>
      <c r="AA425" s="0" t="s">
        <v>46</v>
      </c>
      <c r="AB425" s="0" t="s">
        <v>46</v>
      </c>
      <c r="AC425" s="0" t="s">
        <v>51</v>
      </c>
      <c r="AD425" s="0" t="s">
        <v>52</v>
      </c>
      <c r="AE425" s="0" t="s">
        <v>2351</v>
      </c>
      <c r="AF425" s="0" t="s">
        <v>2352</v>
      </c>
      <c r="AG425" s="0" t="s">
        <v>2353</v>
      </c>
      <c r="AH425" s="0" t="s">
        <v>46</v>
      </c>
      <c r="AI425" s="0" t="s">
        <v>46</v>
      </c>
      <c r="AJ425" s="0" t="s">
        <v>46</v>
      </c>
      <c r="AK425" s="0" t="s">
        <v>46</v>
      </c>
      <c r="AL425" s="0" t="s">
        <v>46</v>
      </c>
    </row>
    <row r="426" customFormat="false" ht="15" hidden="false" customHeight="false" outlineLevel="0" collapsed="false">
      <c r="B426" s="0" t="str">
        <f aca="false">HYPERLINK("https://genome.ucsc.edu/cgi-bin/hgTracks?db=hg19&amp;position=chr11%3A61404056%2D61404056", "chr11:61404056")</f>
        <v>chr11:61404056</v>
      </c>
      <c r="C426" s="0" t="s">
        <v>38</v>
      </c>
      <c r="D426" s="0" t="n">
        <v>61404056</v>
      </c>
      <c r="E426" s="0" t="n">
        <v>61404056</v>
      </c>
      <c r="F426" s="0" t="s">
        <v>69</v>
      </c>
      <c r="G426" s="0" t="s">
        <v>39</v>
      </c>
      <c r="H426" s="0" t="s">
        <v>812</v>
      </c>
      <c r="I426" s="0" t="s">
        <v>559</v>
      </c>
      <c r="J426" s="0" t="s">
        <v>560</v>
      </c>
      <c r="K426" s="0" t="s">
        <v>46</v>
      </c>
      <c r="L426" s="0" t="s">
        <v>46</v>
      </c>
      <c r="M426" s="0" t="str">
        <f aca="false">HYPERLINK("https://www.genecards.org/Search/Keyword?queryString=%5Baliases%5D(%20RPLP0P2%20)&amp;keywords=RPLP0P2", "RPLP0P2")</f>
        <v>RPLP0P2</v>
      </c>
      <c r="N426" s="0" t="s">
        <v>2354</v>
      </c>
      <c r="O426" s="0" t="s">
        <v>46</v>
      </c>
      <c r="P426" s="0" t="s">
        <v>2355</v>
      </c>
      <c r="Q426" s="0" t="n">
        <v>-1</v>
      </c>
      <c r="R426" s="0" t="n">
        <v>-1</v>
      </c>
      <c r="S426" s="0" t="n">
        <v>-1</v>
      </c>
      <c r="T426" s="0" t="n">
        <v>-1</v>
      </c>
      <c r="U426" s="0" t="n">
        <v>-1</v>
      </c>
      <c r="V426" s="0" t="s">
        <v>46</v>
      </c>
      <c r="W426" s="0" t="s">
        <v>46</v>
      </c>
      <c r="X426" s="0" t="s">
        <v>46</v>
      </c>
      <c r="Y426" s="0" t="s">
        <v>46</v>
      </c>
      <c r="Z426" s="0" t="s">
        <v>46</v>
      </c>
      <c r="AA426" s="0" t="s">
        <v>46</v>
      </c>
      <c r="AB426" s="0" t="s">
        <v>46</v>
      </c>
      <c r="AC426" s="0" t="s">
        <v>51</v>
      </c>
      <c r="AD426" s="0" t="s">
        <v>52</v>
      </c>
      <c r="AE426" s="0" t="s">
        <v>46</v>
      </c>
      <c r="AF426" s="0" t="s">
        <v>2356</v>
      </c>
      <c r="AG426" s="0" t="s">
        <v>46</v>
      </c>
      <c r="AH426" s="0" t="s">
        <v>46</v>
      </c>
      <c r="AI426" s="0" t="s">
        <v>46</v>
      </c>
      <c r="AJ426" s="0" t="s">
        <v>46</v>
      </c>
      <c r="AK426" s="0" t="s">
        <v>46</v>
      </c>
      <c r="AL426" s="0" t="s">
        <v>46</v>
      </c>
    </row>
    <row r="427" customFormat="false" ht="15" hidden="false" customHeight="false" outlineLevel="0" collapsed="false">
      <c r="B427" s="0" t="str">
        <f aca="false">HYPERLINK("https://genome.ucsc.edu/cgi-bin/hgTracks?db=hg19&amp;position=chr11%3A89795836%2D89795872", "chr11:89795836")</f>
        <v>chr11:89795836</v>
      </c>
      <c r="C427" s="0" t="s">
        <v>38</v>
      </c>
      <c r="D427" s="0" t="n">
        <v>89795836</v>
      </c>
      <c r="E427" s="0" t="n">
        <v>89795872</v>
      </c>
      <c r="F427" s="0" t="s">
        <v>2357</v>
      </c>
      <c r="G427" s="0" t="s">
        <v>200</v>
      </c>
      <c r="H427" s="0" t="s">
        <v>2279</v>
      </c>
      <c r="I427" s="0" t="s">
        <v>581</v>
      </c>
      <c r="J427" s="0" t="s">
        <v>919</v>
      </c>
      <c r="K427" s="0" t="s">
        <v>46</v>
      </c>
      <c r="L427" s="0" t="s">
        <v>46</v>
      </c>
      <c r="M427" s="0" t="str">
        <f aca="false">HYPERLINK("https://www.genecards.org/Search/Keyword?queryString=%5Baliases%5D(%20LOC440061%20)&amp;keywords=LOC440061", "LOC440061")</f>
        <v>LOC440061</v>
      </c>
      <c r="N427" s="0" t="s">
        <v>1306</v>
      </c>
      <c r="O427" s="0" t="s">
        <v>2265</v>
      </c>
      <c r="P427" s="0" t="s">
        <v>2358</v>
      </c>
      <c r="Q427" s="0" t="n">
        <v>-1</v>
      </c>
      <c r="R427" s="0" t="n">
        <v>-1</v>
      </c>
      <c r="S427" s="0" t="n">
        <v>-1</v>
      </c>
      <c r="T427" s="0" t="n">
        <v>-1</v>
      </c>
      <c r="U427" s="0" t="n">
        <v>-1</v>
      </c>
      <c r="V427" s="0" t="s">
        <v>46</v>
      </c>
      <c r="W427" s="0" t="s">
        <v>46</v>
      </c>
      <c r="X427" s="0" t="s">
        <v>46</v>
      </c>
      <c r="Y427" s="0" t="s">
        <v>46</v>
      </c>
      <c r="Z427" s="0" t="s">
        <v>46</v>
      </c>
      <c r="AA427" s="0" t="s">
        <v>46</v>
      </c>
      <c r="AB427" s="0" t="s">
        <v>46</v>
      </c>
      <c r="AC427" s="0" t="s">
        <v>51</v>
      </c>
      <c r="AD427" s="0" t="s">
        <v>52</v>
      </c>
      <c r="AE427" s="0" t="s">
        <v>46</v>
      </c>
      <c r="AF427" s="0" t="s">
        <v>46</v>
      </c>
      <c r="AG427" s="0" t="s">
        <v>46</v>
      </c>
      <c r="AH427" s="0" t="s">
        <v>46</v>
      </c>
      <c r="AI427" s="0" t="s">
        <v>46</v>
      </c>
      <c r="AJ427" s="0" t="s">
        <v>46</v>
      </c>
      <c r="AK427" s="0" t="s">
        <v>46</v>
      </c>
      <c r="AL427" s="0" t="s">
        <v>46</v>
      </c>
    </row>
    <row r="428" customFormat="false" ht="15" hidden="false" customHeight="false" outlineLevel="0" collapsed="false">
      <c r="B428" s="0" t="str">
        <f aca="false">HYPERLINK("https://genome.ucsc.edu/cgi-bin/hgTracks?db=hg19&amp;position=chr11%3A114121371%2D114121371", "chr11:114121371")</f>
        <v>chr11:114121371</v>
      </c>
      <c r="C428" s="0" t="s">
        <v>38</v>
      </c>
      <c r="D428" s="0" t="n">
        <v>114121371</v>
      </c>
      <c r="E428" s="0" t="n">
        <v>114121371</v>
      </c>
      <c r="F428" s="0" t="s">
        <v>200</v>
      </c>
      <c r="G428" s="0" t="s">
        <v>57</v>
      </c>
      <c r="H428" s="0" t="s">
        <v>2359</v>
      </c>
      <c r="I428" s="0" t="s">
        <v>111</v>
      </c>
      <c r="J428" s="0" t="s">
        <v>2360</v>
      </c>
      <c r="K428" s="0" t="s">
        <v>46</v>
      </c>
      <c r="L428" s="0" t="str">
        <f aca="false">HYPERLINK("https://www.ncbi.nlm.nih.gov/snp/rs113522699", "rs113522699")</f>
        <v>rs113522699</v>
      </c>
      <c r="M428" s="0" t="str">
        <f aca="false">HYPERLINK("https://www.genecards.org/Search/Keyword?queryString=%5Baliases%5D(%20ZBTB16%20)&amp;keywords=ZBTB16", "ZBTB16")</f>
        <v>ZBTB16</v>
      </c>
      <c r="N428" s="0" t="s">
        <v>86</v>
      </c>
      <c r="O428" s="0" t="s">
        <v>46</v>
      </c>
      <c r="P428" s="0" t="s">
        <v>2361</v>
      </c>
      <c r="Q428" s="0" t="n">
        <v>0.0257</v>
      </c>
      <c r="R428" s="0" t="n">
        <v>0.007</v>
      </c>
      <c r="S428" s="0" t="n">
        <v>0.0074</v>
      </c>
      <c r="T428" s="0" t="n">
        <v>-1</v>
      </c>
      <c r="U428" s="0" t="n">
        <v>0.0074</v>
      </c>
      <c r="V428" s="0" t="s">
        <v>46</v>
      </c>
      <c r="W428" s="0" t="s">
        <v>46</v>
      </c>
      <c r="X428" s="0" t="s">
        <v>46</v>
      </c>
      <c r="Y428" s="0" t="s">
        <v>46</v>
      </c>
      <c r="Z428" s="0" t="s">
        <v>46</v>
      </c>
      <c r="AA428" s="0" t="s">
        <v>46</v>
      </c>
      <c r="AB428" s="0" t="s">
        <v>46</v>
      </c>
      <c r="AC428" s="0" t="s">
        <v>51</v>
      </c>
      <c r="AD428" s="0" t="s">
        <v>52</v>
      </c>
      <c r="AE428" s="0" t="s">
        <v>2362</v>
      </c>
      <c r="AF428" s="0" t="s">
        <v>2363</v>
      </c>
      <c r="AG428" s="0" t="s">
        <v>2364</v>
      </c>
      <c r="AH428" s="0" t="s">
        <v>2365</v>
      </c>
      <c r="AI428" s="0" t="s">
        <v>301</v>
      </c>
      <c r="AJ428" s="0" t="s">
        <v>46</v>
      </c>
      <c r="AK428" s="0" t="s">
        <v>46</v>
      </c>
      <c r="AL428" s="0" t="s">
        <v>46</v>
      </c>
    </row>
    <row r="429" customFormat="false" ht="15" hidden="false" customHeight="false" outlineLevel="0" collapsed="false">
      <c r="B429" s="0" t="str">
        <f aca="false">HYPERLINK("https://genome.ucsc.edu/cgi-bin/hgTracks?db=hg19&amp;position=chr11%3A117222647%2D117222647", "chr11:117222647")</f>
        <v>chr11:117222647</v>
      </c>
      <c r="C429" s="0" t="s">
        <v>38</v>
      </c>
      <c r="D429" s="0" t="n">
        <v>117222647</v>
      </c>
      <c r="E429" s="0" t="n">
        <v>117222647</v>
      </c>
      <c r="F429" s="0" t="s">
        <v>200</v>
      </c>
      <c r="G429" s="0" t="s">
        <v>57</v>
      </c>
      <c r="H429" s="0" t="s">
        <v>2205</v>
      </c>
      <c r="I429" s="0" t="s">
        <v>975</v>
      </c>
      <c r="J429" s="0" t="s">
        <v>2366</v>
      </c>
      <c r="K429" s="0" t="s">
        <v>46</v>
      </c>
      <c r="L429" s="0" t="str">
        <f aca="false">HYPERLINK("https://www.ncbi.nlm.nih.gov/snp/rs779666861", "rs779666861")</f>
        <v>rs779666861</v>
      </c>
      <c r="M429" s="0" t="str">
        <f aca="false">HYPERLINK("https://www.genecards.org/Search/Keyword?queryString=%5Baliases%5D(%20CEP164%20)&amp;keywords=CEP164", "CEP164")</f>
        <v>CEP164</v>
      </c>
      <c r="N429" s="0" t="s">
        <v>98</v>
      </c>
      <c r="O429" s="0" t="s">
        <v>2206</v>
      </c>
      <c r="P429" s="0" t="s">
        <v>2367</v>
      </c>
      <c r="Q429" s="0" t="n">
        <v>0.0059</v>
      </c>
      <c r="R429" s="0" t="n">
        <v>0.0005</v>
      </c>
      <c r="S429" s="0" t="n">
        <v>0.0007</v>
      </c>
      <c r="T429" s="0" t="n">
        <v>-1</v>
      </c>
      <c r="U429" s="0" t="n">
        <v>0.001</v>
      </c>
      <c r="V429" s="0" t="s">
        <v>46</v>
      </c>
      <c r="W429" s="0" t="s">
        <v>46</v>
      </c>
      <c r="X429" s="0" t="s">
        <v>46</v>
      </c>
      <c r="Y429" s="0" t="s">
        <v>46</v>
      </c>
      <c r="Z429" s="0" t="s">
        <v>46</v>
      </c>
      <c r="AA429" s="0" t="s">
        <v>46</v>
      </c>
      <c r="AB429" s="0" t="s">
        <v>46</v>
      </c>
      <c r="AC429" s="0" t="s">
        <v>51</v>
      </c>
      <c r="AD429" s="0" t="s">
        <v>52</v>
      </c>
      <c r="AE429" s="0" t="s">
        <v>2368</v>
      </c>
      <c r="AF429" s="0" t="s">
        <v>2369</v>
      </c>
      <c r="AG429" s="0" t="s">
        <v>2370</v>
      </c>
      <c r="AH429" s="0" t="s">
        <v>2371</v>
      </c>
      <c r="AI429" s="0" t="s">
        <v>802</v>
      </c>
      <c r="AJ429" s="0" t="s">
        <v>46</v>
      </c>
      <c r="AK429" s="0" t="s">
        <v>46</v>
      </c>
      <c r="AL429" s="0" t="s">
        <v>46</v>
      </c>
    </row>
    <row r="430" customFormat="false" ht="15" hidden="false" customHeight="false" outlineLevel="0" collapsed="false">
      <c r="B430" s="0" t="str">
        <f aca="false">HYPERLINK("https://genome.ucsc.edu/cgi-bin/hgTracks?db=hg19&amp;position=chr12%3A2974574%2D2974574", "chr12:2974574")</f>
        <v>chr12:2974574</v>
      </c>
      <c r="C430" s="0" t="s">
        <v>235</v>
      </c>
      <c r="D430" s="0" t="n">
        <v>2974574</v>
      </c>
      <c r="E430" s="0" t="n">
        <v>2974574</v>
      </c>
      <c r="F430" s="0" t="s">
        <v>69</v>
      </c>
      <c r="G430" s="0" t="s">
        <v>57</v>
      </c>
      <c r="H430" s="0" t="s">
        <v>1586</v>
      </c>
      <c r="I430" s="0" t="s">
        <v>83</v>
      </c>
      <c r="J430" s="0" t="s">
        <v>2372</v>
      </c>
      <c r="K430" s="0" t="s">
        <v>46</v>
      </c>
      <c r="L430" s="0" t="str">
        <f aca="false">HYPERLINK("https://www.ncbi.nlm.nih.gov/snp/rs185920827", "rs185920827")</f>
        <v>rs185920827</v>
      </c>
      <c r="M430" s="0" t="str">
        <f aca="false">HYPERLINK("https://www.genecards.org/Search/Keyword?queryString=%5Baliases%5D(%20FOXM1%20)&amp;keywords=FOXM1", "FOXM1")</f>
        <v>FOXM1</v>
      </c>
      <c r="N430" s="0" t="s">
        <v>62</v>
      </c>
      <c r="O430" s="0" t="s">
        <v>46</v>
      </c>
      <c r="P430" s="0" t="s">
        <v>46</v>
      </c>
      <c r="Q430" s="0" t="n">
        <v>0.0245</v>
      </c>
      <c r="R430" s="0" t="n">
        <v>0.0038</v>
      </c>
      <c r="S430" s="0" t="n">
        <v>0.003</v>
      </c>
      <c r="T430" s="0" t="n">
        <v>-1</v>
      </c>
      <c r="U430" s="0" t="n">
        <v>0.0058</v>
      </c>
      <c r="V430" s="0" t="s">
        <v>46</v>
      </c>
      <c r="W430" s="0" t="s">
        <v>999</v>
      </c>
      <c r="X430" s="0" t="s">
        <v>63</v>
      </c>
      <c r="Y430" s="0" t="s">
        <v>2214</v>
      </c>
      <c r="Z430" s="0" t="s">
        <v>46</v>
      </c>
      <c r="AA430" s="0" t="s">
        <v>46</v>
      </c>
      <c r="AB430" s="0" t="s">
        <v>46</v>
      </c>
      <c r="AC430" s="0" t="s">
        <v>51</v>
      </c>
      <c r="AD430" s="0" t="s">
        <v>52</v>
      </c>
      <c r="AE430" s="0" t="s">
        <v>2373</v>
      </c>
      <c r="AF430" s="0" t="s">
        <v>2374</v>
      </c>
      <c r="AG430" s="0" t="s">
        <v>2375</v>
      </c>
      <c r="AH430" s="0" t="s">
        <v>46</v>
      </c>
      <c r="AI430" s="0" t="s">
        <v>46</v>
      </c>
      <c r="AJ430" s="0" t="s">
        <v>46</v>
      </c>
      <c r="AK430" s="0" t="s">
        <v>46</v>
      </c>
      <c r="AL430" s="0" t="s">
        <v>46</v>
      </c>
    </row>
    <row r="431" customFormat="false" ht="15" hidden="false" customHeight="false" outlineLevel="0" collapsed="false">
      <c r="B431" s="0" t="str">
        <f aca="false">HYPERLINK("https://genome.ucsc.edu/cgi-bin/hgTracks?db=hg19&amp;position=chr12%3A8203109%2D8203109", "chr12:8203109")</f>
        <v>chr12:8203109</v>
      </c>
      <c r="C431" s="0" t="s">
        <v>235</v>
      </c>
      <c r="D431" s="0" t="n">
        <v>8203109</v>
      </c>
      <c r="E431" s="0" t="n">
        <v>8203109</v>
      </c>
      <c r="F431" s="0" t="s">
        <v>39</v>
      </c>
      <c r="G431" s="0" t="s">
        <v>69</v>
      </c>
      <c r="H431" s="0" t="s">
        <v>121</v>
      </c>
      <c r="I431" s="0" t="s">
        <v>486</v>
      </c>
      <c r="J431" s="0" t="s">
        <v>2376</v>
      </c>
      <c r="K431" s="0" t="s">
        <v>46</v>
      </c>
      <c r="L431" s="0" t="str">
        <f aca="false">HYPERLINK("https://www.ncbi.nlm.nih.gov/snp/rs368697032", "rs368697032")</f>
        <v>rs368697032</v>
      </c>
      <c r="M431" s="0" t="str">
        <f aca="false">HYPERLINK("https://www.genecards.org/Search/Keyword?queryString=%5Baliases%5D(%20FOXJ2%20)&amp;keywords=FOXJ2", "FOXJ2")</f>
        <v>FOXJ2</v>
      </c>
      <c r="N431" s="0" t="s">
        <v>62</v>
      </c>
      <c r="O431" s="0" t="s">
        <v>46</v>
      </c>
      <c r="P431" s="0" t="s">
        <v>46</v>
      </c>
      <c r="Q431" s="0" t="n">
        <v>0.0009</v>
      </c>
      <c r="R431" s="0" t="n">
        <v>0.0004</v>
      </c>
      <c r="S431" s="0" t="n">
        <v>0.0003</v>
      </c>
      <c r="T431" s="0" t="n">
        <v>-1</v>
      </c>
      <c r="U431" s="0" t="n">
        <v>0.0005</v>
      </c>
      <c r="V431" s="0" t="s">
        <v>46</v>
      </c>
      <c r="W431" s="0" t="s">
        <v>40</v>
      </c>
      <c r="X431" s="0" t="s">
        <v>2255</v>
      </c>
      <c r="Y431" s="0" t="s">
        <v>2214</v>
      </c>
      <c r="Z431" s="0" t="s">
        <v>46</v>
      </c>
      <c r="AA431" s="0" t="s">
        <v>46</v>
      </c>
      <c r="AB431" s="0" t="s">
        <v>46</v>
      </c>
      <c r="AC431" s="0" t="s">
        <v>51</v>
      </c>
      <c r="AD431" s="0" t="s">
        <v>52</v>
      </c>
      <c r="AE431" s="0" t="s">
        <v>2377</v>
      </c>
      <c r="AF431" s="0" t="s">
        <v>2378</v>
      </c>
      <c r="AG431" s="0" t="s">
        <v>2379</v>
      </c>
      <c r="AH431" s="0" t="s">
        <v>46</v>
      </c>
      <c r="AI431" s="0" t="s">
        <v>46</v>
      </c>
      <c r="AJ431" s="0" t="s">
        <v>46</v>
      </c>
      <c r="AK431" s="0" t="s">
        <v>46</v>
      </c>
      <c r="AL431" s="0" t="s">
        <v>46</v>
      </c>
    </row>
    <row r="432" customFormat="false" ht="15" hidden="false" customHeight="false" outlineLevel="0" collapsed="false">
      <c r="B432" s="0" t="str">
        <f aca="false">HYPERLINK("https://genome.ucsc.edu/cgi-bin/hgTracks?db=hg19&amp;position=chr12%3A32485320%2D32485320", "chr12:32485320")</f>
        <v>chr12:32485320</v>
      </c>
      <c r="C432" s="0" t="s">
        <v>235</v>
      </c>
      <c r="D432" s="0" t="n">
        <v>32485320</v>
      </c>
      <c r="E432" s="0" t="n">
        <v>32485320</v>
      </c>
      <c r="F432" s="0" t="s">
        <v>57</v>
      </c>
      <c r="G432" s="0" t="s">
        <v>69</v>
      </c>
      <c r="H432" s="0" t="s">
        <v>558</v>
      </c>
      <c r="I432" s="0" t="s">
        <v>559</v>
      </c>
      <c r="J432" s="0" t="s">
        <v>560</v>
      </c>
      <c r="K432" s="0" t="s">
        <v>46</v>
      </c>
      <c r="L432" s="0" t="s">
        <v>46</v>
      </c>
      <c r="M432" s="0" t="str">
        <f aca="false">HYPERLINK("https://www.genecards.org/Search/Keyword?queryString=%5Baliases%5D(%20BICD1%20)&amp;keywords=BICD1", "BICD1")</f>
        <v>BICD1</v>
      </c>
      <c r="N432" s="0" t="s">
        <v>62</v>
      </c>
      <c r="O432" s="0" t="s">
        <v>46</v>
      </c>
      <c r="P432" s="0" t="s">
        <v>46</v>
      </c>
      <c r="Q432" s="0" t="n">
        <v>-1</v>
      </c>
      <c r="R432" s="0" t="n">
        <v>-1</v>
      </c>
      <c r="S432" s="0" t="n">
        <v>-1</v>
      </c>
      <c r="T432" s="0" t="n">
        <v>-1</v>
      </c>
      <c r="U432" s="0" t="n">
        <v>-1</v>
      </c>
      <c r="V432" s="0" t="s">
        <v>46</v>
      </c>
      <c r="W432" s="0" t="s">
        <v>46</v>
      </c>
      <c r="X432" s="0" t="s">
        <v>2255</v>
      </c>
      <c r="Y432" s="0" t="s">
        <v>64</v>
      </c>
      <c r="Z432" s="0" t="s">
        <v>46</v>
      </c>
      <c r="AA432" s="0" t="s">
        <v>46</v>
      </c>
      <c r="AB432" s="0" t="s">
        <v>46</v>
      </c>
      <c r="AC432" s="0" t="s">
        <v>51</v>
      </c>
      <c r="AD432" s="0" t="s">
        <v>856</v>
      </c>
      <c r="AE432" s="0" t="s">
        <v>2380</v>
      </c>
      <c r="AF432" s="0" t="s">
        <v>2381</v>
      </c>
      <c r="AG432" s="0" t="s">
        <v>2382</v>
      </c>
      <c r="AH432" s="0" t="s">
        <v>46</v>
      </c>
      <c r="AI432" s="0" t="s">
        <v>46</v>
      </c>
      <c r="AJ432" s="0" t="s">
        <v>46</v>
      </c>
      <c r="AK432" s="0" t="s">
        <v>46</v>
      </c>
      <c r="AL432" s="0" t="s">
        <v>46</v>
      </c>
    </row>
    <row r="433" customFormat="false" ht="15" hidden="false" customHeight="false" outlineLevel="0" collapsed="false">
      <c r="B433" s="0" t="str">
        <f aca="false">HYPERLINK("https://genome.ucsc.edu/cgi-bin/hgTracks?db=hg19&amp;position=chr12%3A32485321%2D32485321", "chr12:32485321")</f>
        <v>chr12:32485321</v>
      </c>
      <c r="C433" s="0" t="s">
        <v>235</v>
      </c>
      <c r="D433" s="0" t="n">
        <v>32485321</v>
      </c>
      <c r="E433" s="0" t="n">
        <v>32485321</v>
      </c>
      <c r="F433" s="0" t="s">
        <v>57</v>
      </c>
      <c r="G433" s="0" t="s">
        <v>69</v>
      </c>
      <c r="H433" s="0" t="s">
        <v>558</v>
      </c>
      <c r="I433" s="0" t="s">
        <v>559</v>
      </c>
      <c r="J433" s="0" t="s">
        <v>560</v>
      </c>
      <c r="K433" s="0" t="s">
        <v>46</v>
      </c>
      <c r="L433" s="0" t="s">
        <v>46</v>
      </c>
      <c r="M433" s="0" t="str">
        <f aca="false">HYPERLINK("https://www.genecards.org/Search/Keyword?queryString=%5Baliases%5D(%20BICD1%20)&amp;keywords=BICD1", "BICD1")</f>
        <v>BICD1</v>
      </c>
      <c r="N433" s="0" t="s">
        <v>62</v>
      </c>
      <c r="O433" s="0" t="s">
        <v>46</v>
      </c>
      <c r="P433" s="0" t="s">
        <v>46</v>
      </c>
      <c r="Q433" s="0" t="n">
        <v>-1</v>
      </c>
      <c r="R433" s="0" t="n">
        <v>-1</v>
      </c>
      <c r="S433" s="0" t="n">
        <v>-1</v>
      </c>
      <c r="T433" s="0" t="n">
        <v>-1</v>
      </c>
      <c r="U433" s="0" t="n">
        <v>-1</v>
      </c>
      <c r="V433" s="0" t="s">
        <v>46</v>
      </c>
      <c r="W433" s="0" t="s">
        <v>46</v>
      </c>
      <c r="X433" s="0" t="s">
        <v>2255</v>
      </c>
      <c r="Y433" s="0" t="s">
        <v>64</v>
      </c>
      <c r="Z433" s="0" t="s">
        <v>46</v>
      </c>
      <c r="AA433" s="0" t="s">
        <v>46</v>
      </c>
      <c r="AB433" s="0" t="s">
        <v>46</v>
      </c>
      <c r="AC433" s="0" t="s">
        <v>51</v>
      </c>
      <c r="AD433" s="0" t="s">
        <v>856</v>
      </c>
      <c r="AE433" s="0" t="s">
        <v>2380</v>
      </c>
      <c r="AF433" s="0" t="s">
        <v>2381</v>
      </c>
      <c r="AG433" s="0" t="s">
        <v>2382</v>
      </c>
      <c r="AH433" s="0" t="s">
        <v>46</v>
      </c>
      <c r="AI433" s="0" t="s">
        <v>46</v>
      </c>
      <c r="AJ433" s="0" t="s">
        <v>46</v>
      </c>
      <c r="AK433" s="0" t="s">
        <v>46</v>
      </c>
      <c r="AL433" s="0" t="s">
        <v>46</v>
      </c>
    </row>
    <row r="434" customFormat="false" ht="15" hidden="false" customHeight="false" outlineLevel="0" collapsed="false">
      <c r="B434" s="0" t="str">
        <f aca="false">HYPERLINK("https://genome.ucsc.edu/cgi-bin/hgTracks?db=hg19&amp;position=chr12%3A46298265%2D46298265", "chr12:46298265")</f>
        <v>chr12:46298265</v>
      </c>
      <c r="C434" s="0" t="s">
        <v>235</v>
      </c>
      <c r="D434" s="0" t="n">
        <v>46298265</v>
      </c>
      <c r="E434" s="0" t="n">
        <v>46298265</v>
      </c>
      <c r="F434" s="0" t="s">
        <v>57</v>
      </c>
      <c r="G434" s="0" t="s">
        <v>69</v>
      </c>
      <c r="H434" s="0" t="s">
        <v>1102</v>
      </c>
      <c r="I434" s="0" t="s">
        <v>413</v>
      </c>
      <c r="J434" s="0" t="s">
        <v>414</v>
      </c>
      <c r="K434" s="0" t="s">
        <v>46</v>
      </c>
      <c r="L434" s="0" t="str">
        <f aca="false">HYPERLINK("https://www.ncbi.nlm.nih.gov/snp/rs966533614", "rs966533614")</f>
        <v>rs966533614</v>
      </c>
      <c r="M434" s="0" t="str">
        <f aca="false">HYPERLINK("https://www.genecards.org/Search/Keyword?queryString=%5Baliases%5D(%20ARID2%20)&amp;keywords=ARID2", "ARID2")</f>
        <v>ARID2</v>
      </c>
      <c r="N434" s="0" t="s">
        <v>62</v>
      </c>
      <c r="O434" s="0" t="s">
        <v>46</v>
      </c>
      <c r="P434" s="0" t="s">
        <v>46</v>
      </c>
      <c r="Q434" s="0" t="n">
        <v>-1</v>
      </c>
      <c r="R434" s="0" t="n">
        <v>-1</v>
      </c>
      <c r="S434" s="0" t="n">
        <v>-1</v>
      </c>
      <c r="T434" s="0" t="n">
        <v>-1</v>
      </c>
      <c r="U434" s="0" t="n">
        <v>-1</v>
      </c>
      <c r="V434" s="0" t="s">
        <v>46</v>
      </c>
      <c r="W434" s="0" t="s">
        <v>46</v>
      </c>
      <c r="X434" s="0" t="s">
        <v>2255</v>
      </c>
      <c r="Y434" s="0" t="s">
        <v>64</v>
      </c>
      <c r="Z434" s="0" t="s">
        <v>46</v>
      </c>
      <c r="AA434" s="0" t="s">
        <v>46</v>
      </c>
      <c r="AB434" s="0" t="s">
        <v>46</v>
      </c>
      <c r="AC434" s="0" t="s">
        <v>51</v>
      </c>
      <c r="AD434" s="0" t="s">
        <v>856</v>
      </c>
      <c r="AE434" s="0" t="s">
        <v>937</v>
      </c>
      <c r="AF434" s="0" t="s">
        <v>938</v>
      </c>
      <c r="AG434" s="0" t="s">
        <v>939</v>
      </c>
      <c r="AH434" s="0" t="s">
        <v>46</v>
      </c>
      <c r="AI434" s="0" t="s">
        <v>46</v>
      </c>
      <c r="AJ434" s="0" t="s">
        <v>46</v>
      </c>
      <c r="AK434" s="0" t="s">
        <v>46</v>
      </c>
      <c r="AL434" s="0" t="s">
        <v>46</v>
      </c>
    </row>
    <row r="435" customFormat="false" ht="15" hidden="false" customHeight="false" outlineLevel="0" collapsed="false">
      <c r="B435" s="0" t="str">
        <f aca="false">HYPERLINK("https://genome.ucsc.edu/cgi-bin/hgTracks?db=hg19&amp;position=chr12%3A50352229%2D50352229", "chr12:50352229")</f>
        <v>chr12:50352229</v>
      </c>
      <c r="C435" s="0" t="s">
        <v>235</v>
      </c>
      <c r="D435" s="0" t="n">
        <v>50352229</v>
      </c>
      <c r="E435" s="0" t="n">
        <v>50352229</v>
      </c>
      <c r="F435" s="0" t="s">
        <v>39</v>
      </c>
      <c r="G435" s="0" t="s">
        <v>40</v>
      </c>
      <c r="H435" s="0" t="s">
        <v>2383</v>
      </c>
      <c r="I435" s="0" t="s">
        <v>144</v>
      </c>
      <c r="J435" s="0" t="s">
        <v>2384</v>
      </c>
      <c r="K435" s="0" t="s">
        <v>46</v>
      </c>
      <c r="L435" s="0" t="str">
        <f aca="false">HYPERLINK("https://www.ncbi.nlm.nih.gov/snp/rs113903023", "rs113903023")</f>
        <v>rs113903023</v>
      </c>
      <c r="M435" s="0" t="str">
        <f aca="false">HYPERLINK("https://www.genecards.org/Search/Keyword?queryString=%5Baliases%5D(%20AQP2%20)%20OR%20%5Baliases%5D(%20LOC101927318%20)&amp;keywords=AQP2,LOC101927318", "AQP2;LOC101927318")</f>
        <v>AQP2;LOC101927318</v>
      </c>
      <c r="N435" s="0" t="s">
        <v>86</v>
      </c>
      <c r="O435" s="0" t="s">
        <v>46</v>
      </c>
      <c r="P435" s="0" t="s">
        <v>2385</v>
      </c>
      <c r="Q435" s="0" t="n">
        <v>0.0167</v>
      </c>
      <c r="R435" s="0" t="n">
        <v>0.005</v>
      </c>
      <c r="S435" s="0" t="n">
        <v>0.004</v>
      </c>
      <c r="T435" s="0" t="n">
        <v>-1</v>
      </c>
      <c r="U435" s="0" t="n">
        <v>0.0065</v>
      </c>
      <c r="V435" s="0" t="s">
        <v>46</v>
      </c>
      <c r="W435" s="0" t="s">
        <v>46</v>
      </c>
      <c r="X435" s="0" t="s">
        <v>46</v>
      </c>
      <c r="Y435" s="0" t="s">
        <v>46</v>
      </c>
      <c r="Z435" s="0" t="s">
        <v>46</v>
      </c>
      <c r="AA435" s="0" t="s">
        <v>46</v>
      </c>
      <c r="AB435" s="0" t="s">
        <v>46</v>
      </c>
      <c r="AC435" s="0" t="s">
        <v>51</v>
      </c>
      <c r="AD435" s="0" t="s">
        <v>437</v>
      </c>
      <c r="AE435" s="0" t="s">
        <v>2386</v>
      </c>
      <c r="AF435" s="0" t="s">
        <v>2387</v>
      </c>
      <c r="AG435" s="0" t="s">
        <v>2388</v>
      </c>
      <c r="AH435" s="0" t="s">
        <v>2389</v>
      </c>
      <c r="AI435" s="0" t="s">
        <v>46</v>
      </c>
      <c r="AJ435" s="0" t="s">
        <v>46</v>
      </c>
      <c r="AK435" s="0" t="s">
        <v>46</v>
      </c>
      <c r="AL435" s="0" t="s">
        <v>46</v>
      </c>
    </row>
    <row r="436" customFormat="false" ht="15" hidden="false" customHeight="false" outlineLevel="0" collapsed="false">
      <c r="B436" s="0" t="str">
        <f aca="false">HYPERLINK("https://genome.ucsc.edu/cgi-bin/hgTracks?db=hg19&amp;position=chr12%3A56094378%2D56094378", "chr12:56094378")</f>
        <v>chr12:56094378</v>
      </c>
      <c r="C436" s="0" t="s">
        <v>235</v>
      </c>
      <c r="D436" s="0" t="n">
        <v>56094378</v>
      </c>
      <c r="E436" s="0" t="n">
        <v>56094378</v>
      </c>
      <c r="F436" s="0" t="s">
        <v>69</v>
      </c>
      <c r="G436" s="0" t="s">
        <v>57</v>
      </c>
      <c r="H436" s="0" t="s">
        <v>1997</v>
      </c>
      <c r="I436" s="0" t="s">
        <v>111</v>
      </c>
      <c r="J436" s="0" t="s">
        <v>907</v>
      </c>
      <c r="K436" s="0" t="s">
        <v>46</v>
      </c>
      <c r="L436" s="0" t="s">
        <v>46</v>
      </c>
      <c r="M436" s="0" t="str">
        <f aca="false">HYPERLINK("https://www.genecards.org/Search/Keyword?queryString=%5Baliases%5D(%20ITGA7%20)&amp;keywords=ITGA7", "ITGA7")</f>
        <v>ITGA7</v>
      </c>
      <c r="N436" s="0" t="s">
        <v>62</v>
      </c>
      <c r="O436" s="0" t="s">
        <v>46</v>
      </c>
      <c r="P436" s="0" t="s">
        <v>46</v>
      </c>
      <c r="Q436" s="0" t="n">
        <v>-1</v>
      </c>
      <c r="R436" s="0" t="n">
        <v>-1</v>
      </c>
      <c r="S436" s="0" t="n">
        <v>-1</v>
      </c>
      <c r="T436" s="0" t="n">
        <v>-1</v>
      </c>
      <c r="U436" s="0" t="n">
        <v>-1</v>
      </c>
      <c r="V436" s="0" t="s">
        <v>46</v>
      </c>
      <c r="W436" s="0" t="s">
        <v>46</v>
      </c>
      <c r="X436" s="0" t="s">
        <v>2255</v>
      </c>
      <c r="Y436" s="0" t="s">
        <v>64</v>
      </c>
      <c r="Z436" s="0" t="s">
        <v>46</v>
      </c>
      <c r="AA436" s="0" t="s">
        <v>46</v>
      </c>
      <c r="AB436" s="0" t="s">
        <v>46</v>
      </c>
      <c r="AC436" s="0" t="s">
        <v>51</v>
      </c>
      <c r="AD436" s="0" t="s">
        <v>52</v>
      </c>
      <c r="AE436" s="0" t="s">
        <v>2390</v>
      </c>
      <c r="AF436" s="0" t="s">
        <v>2391</v>
      </c>
      <c r="AG436" s="0" t="s">
        <v>2392</v>
      </c>
      <c r="AH436" s="0" t="s">
        <v>2393</v>
      </c>
      <c r="AI436" s="0" t="s">
        <v>46</v>
      </c>
      <c r="AJ436" s="0" t="s">
        <v>46</v>
      </c>
      <c r="AK436" s="0" t="s">
        <v>46</v>
      </c>
      <c r="AL436" s="0" t="s">
        <v>46</v>
      </c>
    </row>
    <row r="437" customFormat="false" ht="15" hidden="false" customHeight="false" outlineLevel="0" collapsed="false">
      <c r="B437" s="0" t="str">
        <f aca="false">HYPERLINK("https://genome.ucsc.edu/cgi-bin/hgTracks?db=hg19&amp;position=chr12%3A57112438%2D57112438", "chr12:57112438")</f>
        <v>chr12:57112438</v>
      </c>
      <c r="C437" s="0" t="s">
        <v>235</v>
      </c>
      <c r="D437" s="0" t="n">
        <v>57112438</v>
      </c>
      <c r="E437" s="0" t="n">
        <v>57112438</v>
      </c>
      <c r="F437" s="0" t="s">
        <v>69</v>
      </c>
      <c r="G437" s="0" t="s">
        <v>40</v>
      </c>
      <c r="H437" s="0" t="s">
        <v>2394</v>
      </c>
      <c r="I437" s="0" t="s">
        <v>288</v>
      </c>
      <c r="J437" s="0" t="s">
        <v>2395</v>
      </c>
      <c r="K437" s="0" t="s">
        <v>46</v>
      </c>
      <c r="L437" s="0" t="str">
        <f aca="false">HYPERLINK("https://www.ncbi.nlm.nih.gov/snp/rs201572567", "rs201572567")</f>
        <v>rs201572567</v>
      </c>
      <c r="M437" s="0" t="str">
        <f aca="false">HYPERLINK("https://www.genecards.org/Search/Keyword?queryString=%5Baliases%5D(%20NACA%20)&amp;keywords=NACA", "NACA")</f>
        <v>NACA</v>
      </c>
      <c r="N437" s="0" t="s">
        <v>1888</v>
      </c>
      <c r="O437" s="0" t="s">
        <v>99</v>
      </c>
      <c r="P437" s="0" t="s">
        <v>2396</v>
      </c>
      <c r="Q437" s="0" t="n">
        <v>0.0201</v>
      </c>
      <c r="R437" s="0" t="n">
        <v>0.0033</v>
      </c>
      <c r="S437" s="0" t="n">
        <v>0.003</v>
      </c>
      <c r="T437" s="0" t="n">
        <v>-1</v>
      </c>
      <c r="U437" s="0" t="n">
        <v>0.003</v>
      </c>
      <c r="V437" s="0" t="s">
        <v>1890</v>
      </c>
      <c r="W437" s="0" t="s">
        <v>46</v>
      </c>
      <c r="X437" s="0" t="s">
        <v>46</v>
      </c>
      <c r="Y437" s="0" t="s">
        <v>46</v>
      </c>
      <c r="Z437" s="0" t="s">
        <v>49</v>
      </c>
      <c r="AA437" s="0" t="s">
        <v>46</v>
      </c>
      <c r="AB437" s="0" t="s">
        <v>46</v>
      </c>
      <c r="AC437" s="0" t="s">
        <v>51</v>
      </c>
      <c r="AD437" s="0" t="s">
        <v>52</v>
      </c>
      <c r="AE437" s="0" t="s">
        <v>2397</v>
      </c>
      <c r="AF437" s="0" t="s">
        <v>2398</v>
      </c>
      <c r="AG437" s="0" t="s">
        <v>2399</v>
      </c>
      <c r="AH437" s="0" t="s">
        <v>46</v>
      </c>
      <c r="AI437" s="0" t="s">
        <v>46</v>
      </c>
      <c r="AJ437" s="0" t="s">
        <v>46</v>
      </c>
      <c r="AK437" s="0" t="s">
        <v>46</v>
      </c>
      <c r="AL437" s="0" t="s">
        <v>46</v>
      </c>
    </row>
    <row r="438" customFormat="false" ht="15" hidden="false" customHeight="false" outlineLevel="0" collapsed="false">
      <c r="B438" s="0" t="str">
        <f aca="false">HYPERLINK("https://genome.ucsc.edu/cgi-bin/hgTracks?db=hg19&amp;position=chr12%3A58217738%2D58217741", "chr12:58217738")</f>
        <v>chr12:58217738</v>
      </c>
      <c r="C438" s="0" t="s">
        <v>235</v>
      </c>
      <c r="D438" s="0" t="n">
        <v>58217738</v>
      </c>
      <c r="E438" s="0" t="n">
        <v>58217741</v>
      </c>
      <c r="F438" s="0" t="s">
        <v>2400</v>
      </c>
      <c r="G438" s="0" t="s">
        <v>200</v>
      </c>
      <c r="H438" s="0" t="s">
        <v>2401</v>
      </c>
      <c r="I438" s="0" t="s">
        <v>761</v>
      </c>
      <c r="J438" s="0" t="s">
        <v>2402</v>
      </c>
      <c r="K438" s="0" t="s">
        <v>46</v>
      </c>
      <c r="L438" s="0" t="s">
        <v>46</v>
      </c>
      <c r="M438" s="0" t="str">
        <f aca="false">HYPERLINK("https://www.genecards.org/Search/Keyword?queryString=%5Baliases%5D(%20CTDSP2%20)&amp;keywords=CTDSP2", "CTDSP2")</f>
        <v>CTDSP2</v>
      </c>
      <c r="N438" s="0" t="s">
        <v>98</v>
      </c>
      <c r="O438" s="0" t="s">
        <v>2265</v>
      </c>
      <c r="P438" s="0" t="s">
        <v>2403</v>
      </c>
      <c r="Q438" s="0" t="n">
        <v>-1</v>
      </c>
      <c r="R438" s="0" t="n">
        <v>-1</v>
      </c>
      <c r="S438" s="0" t="n">
        <v>-1</v>
      </c>
      <c r="T438" s="0" t="n">
        <v>-1</v>
      </c>
      <c r="U438" s="0" t="n">
        <v>-1</v>
      </c>
      <c r="V438" s="0" t="s">
        <v>46</v>
      </c>
      <c r="W438" s="0" t="s">
        <v>46</v>
      </c>
      <c r="X438" s="0" t="s">
        <v>46</v>
      </c>
      <c r="Y438" s="0" t="s">
        <v>46</v>
      </c>
      <c r="Z438" s="0" t="s">
        <v>46</v>
      </c>
      <c r="AA438" s="0" t="s">
        <v>46</v>
      </c>
      <c r="AB438" s="0" t="s">
        <v>46</v>
      </c>
      <c r="AC438" s="0" t="s">
        <v>51</v>
      </c>
      <c r="AD438" s="0" t="s">
        <v>581</v>
      </c>
      <c r="AE438" s="0" t="s">
        <v>962</v>
      </c>
      <c r="AF438" s="0" t="s">
        <v>963</v>
      </c>
      <c r="AG438" s="0" t="s">
        <v>964</v>
      </c>
      <c r="AH438" s="0" t="s">
        <v>46</v>
      </c>
      <c r="AI438" s="0" t="s">
        <v>46</v>
      </c>
      <c r="AJ438" s="0" t="s">
        <v>46</v>
      </c>
      <c r="AK438" s="0" t="s">
        <v>46</v>
      </c>
      <c r="AL438" s="0" t="s">
        <v>46</v>
      </c>
    </row>
    <row r="439" customFormat="false" ht="15" hidden="false" customHeight="false" outlineLevel="0" collapsed="false">
      <c r="B439" s="0" t="str">
        <f aca="false">HYPERLINK("https://genome.ucsc.edu/cgi-bin/hgTracks?db=hg19&amp;position=chr12%3A69747277%2D69747277", "chr12:69747277")</f>
        <v>chr12:69747277</v>
      </c>
      <c r="C439" s="0" t="s">
        <v>235</v>
      </c>
      <c r="D439" s="0" t="n">
        <v>69747277</v>
      </c>
      <c r="E439" s="0" t="n">
        <v>69747277</v>
      </c>
      <c r="F439" s="0" t="s">
        <v>200</v>
      </c>
      <c r="G439" s="0" t="s">
        <v>2404</v>
      </c>
      <c r="H439" s="0" t="s">
        <v>2405</v>
      </c>
      <c r="I439" s="0" t="s">
        <v>111</v>
      </c>
      <c r="J439" s="0" t="s">
        <v>2406</v>
      </c>
      <c r="K439" s="0" t="s">
        <v>46</v>
      </c>
      <c r="L439" s="0" t="str">
        <f aca="false">HYPERLINK("https://www.ncbi.nlm.nih.gov/snp/rs71094709", "rs71094709")</f>
        <v>rs71094709</v>
      </c>
      <c r="M439" s="0" t="str">
        <f aca="false">HYPERLINK("https://www.genecards.org/Search/Keyword?queryString=%5Baliases%5D(%20LYZ%20)&amp;keywords=LYZ", "LYZ")</f>
        <v>LYZ</v>
      </c>
      <c r="N439" s="0" t="s">
        <v>2270</v>
      </c>
      <c r="O439" s="0" t="s">
        <v>46</v>
      </c>
      <c r="P439" s="0" t="s">
        <v>2407</v>
      </c>
      <c r="Q439" s="0" t="n">
        <v>0.0001537</v>
      </c>
      <c r="R439" s="0" t="n">
        <v>-1</v>
      </c>
      <c r="S439" s="0" t="n">
        <v>-1</v>
      </c>
      <c r="T439" s="0" t="n">
        <v>-1</v>
      </c>
      <c r="U439" s="0" t="n">
        <v>-1</v>
      </c>
      <c r="V439" s="0" t="s">
        <v>46</v>
      </c>
      <c r="W439" s="0" t="s">
        <v>46</v>
      </c>
      <c r="X439" s="0" t="s">
        <v>46</v>
      </c>
      <c r="Y439" s="0" t="s">
        <v>46</v>
      </c>
      <c r="Z439" s="0" t="s">
        <v>46</v>
      </c>
      <c r="AA439" s="0" t="s">
        <v>46</v>
      </c>
      <c r="AB439" s="0" t="s">
        <v>46</v>
      </c>
      <c r="AC439" s="0" t="s">
        <v>207</v>
      </c>
      <c r="AD439" s="0" t="s">
        <v>856</v>
      </c>
      <c r="AE439" s="0" t="s">
        <v>2408</v>
      </c>
      <c r="AF439" s="0" t="s">
        <v>2409</v>
      </c>
      <c r="AG439" s="0" t="s">
        <v>2410</v>
      </c>
      <c r="AH439" s="0" t="s">
        <v>2411</v>
      </c>
      <c r="AI439" s="0" t="s">
        <v>46</v>
      </c>
      <c r="AJ439" s="0" t="s">
        <v>46</v>
      </c>
      <c r="AK439" s="0" t="s">
        <v>46</v>
      </c>
      <c r="AL439" s="0" t="s">
        <v>46</v>
      </c>
    </row>
    <row r="440" customFormat="false" ht="15" hidden="false" customHeight="false" outlineLevel="0" collapsed="false">
      <c r="B440" s="0" t="str">
        <f aca="false">HYPERLINK("https://genome.ucsc.edu/cgi-bin/hgTracks?db=hg19&amp;position=chr12%3A69747277%2D69747277", "chr12:69747277")</f>
        <v>chr12:69747277</v>
      </c>
      <c r="C440" s="0" t="s">
        <v>235</v>
      </c>
      <c r="D440" s="0" t="n">
        <v>69747277</v>
      </c>
      <c r="E440" s="0" t="n">
        <v>69747277</v>
      </c>
      <c r="F440" s="0" t="s">
        <v>200</v>
      </c>
      <c r="G440" s="0" t="s">
        <v>2412</v>
      </c>
      <c r="H440" s="0" t="s">
        <v>2405</v>
      </c>
      <c r="I440" s="0" t="s">
        <v>111</v>
      </c>
      <c r="J440" s="0" t="s">
        <v>2406</v>
      </c>
      <c r="K440" s="0" t="s">
        <v>46</v>
      </c>
      <c r="L440" s="0" t="s">
        <v>46</v>
      </c>
      <c r="M440" s="0" t="str">
        <f aca="false">HYPERLINK("https://www.genecards.org/Search/Keyword?queryString=%5Baliases%5D(%20LYZ%20)&amp;keywords=LYZ", "LYZ")</f>
        <v>LYZ</v>
      </c>
      <c r="N440" s="0" t="s">
        <v>2270</v>
      </c>
      <c r="O440" s="0" t="s">
        <v>46</v>
      </c>
      <c r="P440" s="0" t="s">
        <v>2413</v>
      </c>
      <c r="Q440" s="0" t="n">
        <v>0.0001537</v>
      </c>
      <c r="R440" s="0" t="n">
        <v>-1</v>
      </c>
      <c r="S440" s="0" t="n">
        <v>-1</v>
      </c>
      <c r="T440" s="0" t="n">
        <v>-1</v>
      </c>
      <c r="U440" s="0" t="n">
        <v>-1</v>
      </c>
      <c r="V440" s="0" t="s">
        <v>46</v>
      </c>
      <c r="W440" s="0" t="s">
        <v>46</v>
      </c>
      <c r="X440" s="0" t="s">
        <v>46</v>
      </c>
      <c r="Y440" s="0" t="s">
        <v>46</v>
      </c>
      <c r="Z440" s="0" t="s">
        <v>46</v>
      </c>
      <c r="AA440" s="0" t="s">
        <v>46</v>
      </c>
      <c r="AB440" s="0" t="s">
        <v>46</v>
      </c>
      <c r="AC440" s="0" t="s">
        <v>207</v>
      </c>
      <c r="AD440" s="0" t="s">
        <v>856</v>
      </c>
      <c r="AE440" s="0" t="s">
        <v>2408</v>
      </c>
      <c r="AF440" s="0" t="s">
        <v>2409</v>
      </c>
      <c r="AG440" s="0" t="s">
        <v>2410</v>
      </c>
      <c r="AH440" s="0" t="s">
        <v>2411</v>
      </c>
      <c r="AI440" s="0" t="s">
        <v>46</v>
      </c>
      <c r="AJ440" s="0" t="s">
        <v>46</v>
      </c>
      <c r="AK440" s="0" t="s">
        <v>46</v>
      </c>
      <c r="AL440" s="0" t="s">
        <v>46</v>
      </c>
    </row>
    <row r="441" customFormat="false" ht="15" hidden="false" customHeight="false" outlineLevel="0" collapsed="false">
      <c r="B441" s="0" t="str">
        <f aca="false">HYPERLINK("https://genome.ucsc.edu/cgi-bin/hgTracks?db=hg19&amp;position=chr12%3A112630258%2D112630258", "chr12:112630258")</f>
        <v>chr12:112630258</v>
      </c>
      <c r="C441" s="0" t="s">
        <v>235</v>
      </c>
      <c r="D441" s="0" t="n">
        <v>112630258</v>
      </c>
      <c r="E441" s="0" t="n">
        <v>112630258</v>
      </c>
      <c r="F441" s="0" t="s">
        <v>40</v>
      </c>
      <c r="G441" s="0" t="s">
        <v>39</v>
      </c>
      <c r="H441" s="0" t="s">
        <v>2414</v>
      </c>
      <c r="I441" s="0" t="s">
        <v>369</v>
      </c>
      <c r="J441" s="0" t="s">
        <v>2415</v>
      </c>
      <c r="K441" s="0" t="s">
        <v>46</v>
      </c>
      <c r="L441" s="0" t="str">
        <f aca="false">HYPERLINK("https://www.ncbi.nlm.nih.gov/snp/rs56246268", "rs56246268")</f>
        <v>rs56246268</v>
      </c>
      <c r="M441" s="0" t="str">
        <f aca="false">HYPERLINK("https://www.genecards.org/Search/Keyword?queryString=%5Baliases%5D(%20HECTD4%20)&amp;keywords=HECTD4", "HECTD4")</f>
        <v>HECTD4</v>
      </c>
      <c r="N441" s="0" t="s">
        <v>62</v>
      </c>
      <c r="O441" s="0" t="s">
        <v>46</v>
      </c>
      <c r="P441" s="0" t="s">
        <v>46</v>
      </c>
      <c r="Q441" s="0" t="n">
        <v>0.0189</v>
      </c>
      <c r="R441" s="0" t="n">
        <v>0.0129</v>
      </c>
      <c r="S441" s="0" t="n">
        <v>0.0147</v>
      </c>
      <c r="T441" s="0" t="n">
        <v>-1</v>
      </c>
      <c r="U441" s="0" t="n">
        <v>0.0112</v>
      </c>
      <c r="V441" s="0" t="s">
        <v>46</v>
      </c>
      <c r="W441" s="0" t="s">
        <v>46</v>
      </c>
      <c r="X441" s="0" t="s">
        <v>2255</v>
      </c>
      <c r="Y441" s="0" t="s">
        <v>64</v>
      </c>
      <c r="Z441" s="0" t="s">
        <v>46</v>
      </c>
      <c r="AA441" s="0" t="s">
        <v>46</v>
      </c>
      <c r="AB441" s="0" t="s">
        <v>46</v>
      </c>
      <c r="AC441" s="0" t="s">
        <v>51</v>
      </c>
      <c r="AD441" s="0" t="s">
        <v>52</v>
      </c>
      <c r="AE441" s="0" t="s">
        <v>2416</v>
      </c>
      <c r="AF441" s="0" t="s">
        <v>2417</v>
      </c>
      <c r="AG441" s="0" t="s">
        <v>2418</v>
      </c>
      <c r="AH441" s="0" t="s">
        <v>46</v>
      </c>
      <c r="AI441" s="0" t="s">
        <v>46</v>
      </c>
      <c r="AJ441" s="0" t="s">
        <v>46</v>
      </c>
      <c r="AK441" s="0" t="s">
        <v>46</v>
      </c>
      <c r="AL441" s="0" t="s">
        <v>46</v>
      </c>
    </row>
    <row r="442" customFormat="false" ht="15" hidden="false" customHeight="false" outlineLevel="0" collapsed="false">
      <c r="B442" s="0" t="str">
        <f aca="false">HYPERLINK("https://genome.ucsc.edu/cgi-bin/hgTracks?db=hg19&amp;position=chr12%3A119583168%2D119583168", "chr12:119583168")</f>
        <v>chr12:119583168</v>
      </c>
      <c r="C442" s="0" t="s">
        <v>235</v>
      </c>
      <c r="D442" s="0" t="n">
        <v>119583168</v>
      </c>
      <c r="E442" s="0" t="n">
        <v>119583168</v>
      </c>
      <c r="F442" s="0" t="s">
        <v>69</v>
      </c>
      <c r="G442" s="0" t="s">
        <v>57</v>
      </c>
      <c r="H442" s="0" t="s">
        <v>2419</v>
      </c>
      <c r="I442" s="0" t="s">
        <v>379</v>
      </c>
      <c r="J442" s="0" t="s">
        <v>2420</v>
      </c>
      <c r="K442" s="0" t="s">
        <v>46</v>
      </c>
      <c r="L442" s="0" t="str">
        <f aca="false">HYPERLINK("https://www.ncbi.nlm.nih.gov/snp/rs201460103", "rs201460103")</f>
        <v>rs201460103</v>
      </c>
      <c r="M442" s="0" t="str">
        <f aca="false">HYPERLINK("https://www.genecards.org/Search/Keyword?queryString=%5Baliases%5D(%20SRRM4%20)&amp;keywords=SRRM4", "SRRM4")</f>
        <v>SRRM4</v>
      </c>
      <c r="N442" s="0" t="s">
        <v>62</v>
      </c>
      <c r="O442" s="0" t="s">
        <v>46</v>
      </c>
      <c r="P442" s="0" t="s">
        <v>46</v>
      </c>
      <c r="Q442" s="0" t="n">
        <v>0.0138</v>
      </c>
      <c r="R442" s="0" t="n">
        <v>0.014</v>
      </c>
      <c r="S442" s="0" t="n">
        <v>0.0129</v>
      </c>
      <c r="T442" s="0" t="n">
        <v>-1</v>
      </c>
      <c r="U442" s="0" t="n">
        <v>0.0181</v>
      </c>
      <c r="V442" s="0" t="s">
        <v>46</v>
      </c>
      <c r="W442" s="0" t="s">
        <v>46</v>
      </c>
      <c r="X442" s="0" t="s">
        <v>2255</v>
      </c>
      <c r="Y442" s="0" t="s">
        <v>64</v>
      </c>
      <c r="Z442" s="0" t="s">
        <v>46</v>
      </c>
      <c r="AA442" s="0" t="s">
        <v>46</v>
      </c>
      <c r="AB442" s="0" t="s">
        <v>46</v>
      </c>
      <c r="AC442" s="0" t="s">
        <v>51</v>
      </c>
      <c r="AD442" s="0" t="s">
        <v>52</v>
      </c>
      <c r="AE442" s="0" t="s">
        <v>2421</v>
      </c>
      <c r="AF442" s="0" t="s">
        <v>2422</v>
      </c>
      <c r="AG442" s="0" t="s">
        <v>2423</v>
      </c>
      <c r="AH442" s="0" t="s">
        <v>46</v>
      </c>
      <c r="AI442" s="0" t="s">
        <v>46</v>
      </c>
      <c r="AJ442" s="0" t="s">
        <v>46</v>
      </c>
      <c r="AK442" s="0" t="s">
        <v>46</v>
      </c>
      <c r="AL442" s="0" t="s">
        <v>46</v>
      </c>
    </row>
    <row r="443" customFormat="false" ht="15" hidden="false" customHeight="false" outlineLevel="0" collapsed="false">
      <c r="B443" s="0" t="str">
        <f aca="false">HYPERLINK("https://genome.ucsc.edu/cgi-bin/hgTracks?db=hg19&amp;position=chr12%3A119937910%2D119937910", "chr12:119937910")</f>
        <v>chr12:119937910</v>
      </c>
      <c r="C443" s="0" t="s">
        <v>235</v>
      </c>
      <c r="D443" s="0" t="n">
        <v>119937910</v>
      </c>
      <c r="E443" s="0" t="n">
        <v>119937910</v>
      </c>
      <c r="F443" s="0" t="s">
        <v>200</v>
      </c>
      <c r="G443" s="0" t="s">
        <v>57</v>
      </c>
      <c r="H443" s="0" t="s">
        <v>2424</v>
      </c>
      <c r="I443" s="0" t="s">
        <v>133</v>
      </c>
      <c r="J443" s="0" t="s">
        <v>2425</v>
      </c>
      <c r="K443" s="0" t="s">
        <v>46</v>
      </c>
      <c r="L443" s="0" t="str">
        <f aca="false">HYPERLINK("https://www.ncbi.nlm.nih.gov/snp/rs759057262", "rs759057262")</f>
        <v>rs759057262</v>
      </c>
      <c r="M443" s="0" t="str">
        <f aca="false">HYPERLINK("https://www.genecards.org/Search/Keyword?queryString=%5Baliases%5D(%20CCDC60%20)&amp;keywords=CCDC60", "CCDC60")</f>
        <v>CCDC60</v>
      </c>
      <c r="N443" s="0" t="s">
        <v>98</v>
      </c>
      <c r="O443" s="0" t="s">
        <v>2206</v>
      </c>
      <c r="P443" s="0" t="s">
        <v>2426</v>
      </c>
      <c r="Q443" s="0" t="n">
        <v>0.003049</v>
      </c>
      <c r="R443" s="0" t="n">
        <v>0.0031</v>
      </c>
      <c r="S443" s="0" t="n">
        <v>0.0025</v>
      </c>
      <c r="T443" s="0" t="n">
        <v>-1</v>
      </c>
      <c r="U443" s="0" t="n">
        <v>0.0044</v>
      </c>
      <c r="V443" s="0" t="s">
        <v>46</v>
      </c>
      <c r="W443" s="0" t="s">
        <v>46</v>
      </c>
      <c r="X443" s="0" t="s">
        <v>46</v>
      </c>
      <c r="Y443" s="0" t="s">
        <v>46</v>
      </c>
      <c r="Z443" s="0" t="s">
        <v>46</v>
      </c>
      <c r="AA443" s="0" t="s">
        <v>46</v>
      </c>
      <c r="AB443" s="0" t="s">
        <v>46</v>
      </c>
      <c r="AC443" s="0" t="s">
        <v>51</v>
      </c>
      <c r="AD443" s="0" t="s">
        <v>52</v>
      </c>
      <c r="AE443" s="0" t="s">
        <v>2427</v>
      </c>
      <c r="AF443" s="0" t="s">
        <v>2428</v>
      </c>
      <c r="AG443" s="0" t="s">
        <v>46</v>
      </c>
      <c r="AH443" s="0" t="s">
        <v>46</v>
      </c>
      <c r="AI443" s="0" t="s">
        <v>46</v>
      </c>
      <c r="AJ443" s="0" t="s">
        <v>46</v>
      </c>
      <c r="AK443" s="0" t="s">
        <v>46</v>
      </c>
      <c r="AL443" s="0" t="s">
        <v>46</v>
      </c>
    </row>
    <row r="444" customFormat="false" ht="15" hidden="false" customHeight="false" outlineLevel="0" collapsed="false">
      <c r="B444" s="0" t="str">
        <f aca="false">HYPERLINK("https://genome.ucsc.edu/cgi-bin/hgTracks?db=hg19&amp;position=chr12%3A131295343%2D131295344", "chr12:131295343")</f>
        <v>chr12:131295343</v>
      </c>
      <c r="C444" s="0" t="s">
        <v>235</v>
      </c>
      <c r="D444" s="0" t="n">
        <v>131295343</v>
      </c>
      <c r="E444" s="0" t="n">
        <v>131295344</v>
      </c>
      <c r="F444" s="0" t="s">
        <v>2429</v>
      </c>
      <c r="G444" s="0" t="s">
        <v>200</v>
      </c>
      <c r="H444" s="0" t="s">
        <v>2430</v>
      </c>
      <c r="I444" s="0" t="s">
        <v>668</v>
      </c>
      <c r="J444" s="0" t="s">
        <v>2431</v>
      </c>
      <c r="K444" s="0" t="s">
        <v>46</v>
      </c>
      <c r="L444" s="0" t="str">
        <f aca="false">HYPERLINK("https://www.ncbi.nlm.nih.gov/snp/rs1055336629", "rs1055336629")</f>
        <v>rs1055336629</v>
      </c>
      <c r="M444" s="0" t="str">
        <f aca="false">HYPERLINK("https://www.genecards.org/Search/Keyword?queryString=%5Baliases%5D(%20STX2%20)&amp;keywords=STX2", "STX2")</f>
        <v>STX2</v>
      </c>
      <c r="N444" s="0" t="s">
        <v>2432</v>
      </c>
      <c r="O444" s="0" t="s">
        <v>2265</v>
      </c>
      <c r="P444" s="0" t="s">
        <v>2433</v>
      </c>
      <c r="Q444" s="0" t="n">
        <v>0.0008</v>
      </c>
      <c r="R444" s="0" t="n">
        <v>0.0001</v>
      </c>
      <c r="S444" s="0" t="n">
        <v>-1</v>
      </c>
      <c r="T444" s="0" t="n">
        <v>-1</v>
      </c>
      <c r="U444" s="0" t="n">
        <v>-1</v>
      </c>
      <c r="V444" s="0" t="s">
        <v>46</v>
      </c>
      <c r="W444" s="0" t="s">
        <v>46</v>
      </c>
      <c r="X444" s="0" t="s">
        <v>46</v>
      </c>
      <c r="Y444" s="0" t="s">
        <v>46</v>
      </c>
      <c r="Z444" s="0" t="s">
        <v>46</v>
      </c>
      <c r="AA444" s="0" t="s">
        <v>46</v>
      </c>
      <c r="AB444" s="0" t="s">
        <v>46</v>
      </c>
      <c r="AC444" s="0" t="s">
        <v>51</v>
      </c>
      <c r="AD444" s="0" t="s">
        <v>52</v>
      </c>
      <c r="AE444" s="0" t="s">
        <v>2434</v>
      </c>
      <c r="AF444" s="0" t="s">
        <v>2435</v>
      </c>
      <c r="AG444" s="0" t="s">
        <v>2436</v>
      </c>
      <c r="AH444" s="0" t="s">
        <v>46</v>
      </c>
      <c r="AI444" s="0" t="s">
        <v>46</v>
      </c>
      <c r="AJ444" s="0" t="s">
        <v>46</v>
      </c>
      <c r="AK444" s="0" t="s">
        <v>46</v>
      </c>
      <c r="AL444" s="0" t="s">
        <v>46</v>
      </c>
    </row>
    <row r="445" customFormat="false" ht="15" hidden="false" customHeight="false" outlineLevel="0" collapsed="false">
      <c r="B445" s="0" t="str">
        <f aca="false">HYPERLINK("https://genome.ucsc.edu/cgi-bin/hgTracks?db=hg19&amp;position=chr13%3A42734076%2D42734076", "chr13:42734076")</f>
        <v>chr13:42734076</v>
      </c>
      <c r="C445" s="0" t="s">
        <v>176</v>
      </c>
      <c r="D445" s="0" t="n">
        <v>42734076</v>
      </c>
      <c r="E445" s="0" t="n">
        <v>42734076</v>
      </c>
      <c r="F445" s="0" t="s">
        <v>39</v>
      </c>
      <c r="G445" s="0" t="s">
        <v>69</v>
      </c>
      <c r="H445" s="0" t="s">
        <v>280</v>
      </c>
      <c r="I445" s="0" t="s">
        <v>1103</v>
      </c>
      <c r="J445" s="0" t="s">
        <v>2437</v>
      </c>
      <c r="K445" s="0" t="s">
        <v>46</v>
      </c>
      <c r="L445" s="0" t="str">
        <f aca="false">HYPERLINK("https://www.ncbi.nlm.nih.gov/snp/rs887165329", "rs887165329")</f>
        <v>rs887165329</v>
      </c>
      <c r="M445" s="0" t="str">
        <f aca="false">HYPERLINK("https://www.genecards.org/Search/Keyword?queryString=%5Baliases%5D(%20DGKH%20)&amp;keywords=DGKH", "DGKH")</f>
        <v>DGKH</v>
      </c>
      <c r="N445" s="0" t="s">
        <v>62</v>
      </c>
      <c r="O445" s="0" t="s">
        <v>46</v>
      </c>
      <c r="P445" s="0" t="s">
        <v>46</v>
      </c>
      <c r="Q445" s="0" t="n">
        <v>0.0009</v>
      </c>
      <c r="R445" s="0" t="n">
        <v>0.0002</v>
      </c>
      <c r="S445" s="0" t="n">
        <v>0.0001</v>
      </c>
      <c r="T445" s="0" t="n">
        <v>-1</v>
      </c>
      <c r="U445" s="0" t="n">
        <v>0.0004</v>
      </c>
      <c r="V445" s="0" t="s">
        <v>46</v>
      </c>
      <c r="W445" s="0" t="s">
        <v>46</v>
      </c>
      <c r="X445" s="0" t="s">
        <v>2255</v>
      </c>
      <c r="Y445" s="0" t="s">
        <v>64</v>
      </c>
      <c r="Z445" s="0" t="s">
        <v>46</v>
      </c>
      <c r="AA445" s="0" t="s">
        <v>46</v>
      </c>
      <c r="AB445" s="0" t="s">
        <v>46</v>
      </c>
      <c r="AC445" s="0" t="s">
        <v>51</v>
      </c>
      <c r="AD445" s="0" t="s">
        <v>52</v>
      </c>
      <c r="AE445" s="0" t="s">
        <v>2438</v>
      </c>
      <c r="AF445" s="0" t="s">
        <v>2439</v>
      </c>
      <c r="AG445" s="0" t="s">
        <v>2440</v>
      </c>
      <c r="AH445" s="0" t="s">
        <v>46</v>
      </c>
      <c r="AI445" s="0" t="s">
        <v>46</v>
      </c>
      <c r="AJ445" s="0" t="s">
        <v>46</v>
      </c>
      <c r="AK445" s="0" t="s">
        <v>46</v>
      </c>
      <c r="AL445" s="0" t="s">
        <v>46</v>
      </c>
    </row>
    <row r="446" customFormat="false" ht="15" hidden="false" customHeight="false" outlineLevel="0" collapsed="false">
      <c r="B446" s="0" t="str">
        <f aca="false">HYPERLINK("https://genome.ucsc.edu/cgi-bin/hgTracks?db=hg19&amp;position=chr13%3A84456527%2D84456527", "chr13:84456527")</f>
        <v>chr13:84456527</v>
      </c>
      <c r="C446" s="0" t="s">
        <v>176</v>
      </c>
      <c r="D446" s="0" t="n">
        <v>84456527</v>
      </c>
      <c r="E446" s="0" t="n">
        <v>84456527</v>
      </c>
      <c r="F446" s="0" t="s">
        <v>39</v>
      </c>
      <c r="G446" s="0" t="s">
        <v>200</v>
      </c>
      <c r="H446" s="0" t="s">
        <v>2441</v>
      </c>
      <c r="I446" s="0" t="s">
        <v>581</v>
      </c>
      <c r="J446" s="0" t="s">
        <v>919</v>
      </c>
      <c r="K446" s="0" t="s">
        <v>46</v>
      </c>
      <c r="L446" s="0" t="s">
        <v>46</v>
      </c>
      <c r="M446" s="0" t="str">
        <f aca="false">HYPERLINK("https://www.genecards.org/Search/Keyword?queryString=%5Baliases%5D(%20SLITRK1%20)&amp;keywords=SLITRK1", "SLITRK1")</f>
        <v>SLITRK1</v>
      </c>
      <c r="N446" s="0" t="s">
        <v>2188</v>
      </c>
      <c r="O446" s="0" t="s">
        <v>46</v>
      </c>
      <c r="P446" s="0" t="s">
        <v>2442</v>
      </c>
      <c r="Q446" s="0" t="n">
        <v>-1</v>
      </c>
      <c r="R446" s="0" t="n">
        <v>-1</v>
      </c>
      <c r="S446" s="0" t="n">
        <v>-1</v>
      </c>
      <c r="T446" s="0" t="n">
        <v>-1</v>
      </c>
      <c r="U446" s="0" t="n">
        <v>-1</v>
      </c>
      <c r="V446" s="0" t="s">
        <v>46</v>
      </c>
      <c r="W446" s="0" t="s">
        <v>46</v>
      </c>
      <c r="X446" s="0" t="s">
        <v>46</v>
      </c>
      <c r="Y446" s="0" t="s">
        <v>46</v>
      </c>
      <c r="Z446" s="0" t="s">
        <v>46</v>
      </c>
      <c r="AA446" s="0" t="s">
        <v>46</v>
      </c>
      <c r="AB446" s="0" t="s">
        <v>46</v>
      </c>
      <c r="AC446" s="0" t="s">
        <v>51</v>
      </c>
      <c r="AD446" s="0" t="s">
        <v>52</v>
      </c>
      <c r="AE446" s="0" t="s">
        <v>2443</v>
      </c>
      <c r="AF446" s="0" t="s">
        <v>2444</v>
      </c>
      <c r="AG446" s="0" t="s">
        <v>2445</v>
      </c>
      <c r="AH446" s="0" t="s">
        <v>2446</v>
      </c>
      <c r="AI446" s="0" t="s">
        <v>46</v>
      </c>
      <c r="AJ446" s="0" t="s">
        <v>46</v>
      </c>
      <c r="AK446" s="0" t="s">
        <v>46</v>
      </c>
      <c r="AL446" s="0" t="s">
        <v>46</v>
      </c>
    </row>
    <row r="447" customFormat="false" ht="15" hidden="false" customHeight="false" outlineLevel="0" collapsed="false">
      <c r="B447" s="0" t="str">
        <f aca="false">HYPERLINK("https://genome.ucsc.edu/cgi-bin/hgTracks?db=hg19&amp;position=chr13%3A102873058%2D102873058", "chr13:102873058")</f>
        <v>chr13:102873058</v>
      </c>
      <c r="C447" s="0" t="s">
        <v>176</v>
      </c>
      <c r="D447" s="0" t="n">
        <v>102873058</v>
      </c>
      <c r="E447" s="0" t="n">
        <v>102873058</v>
      </c>
      <c r="F447" s="0" t="s">
        <v>57</v>
      </c>
      <c r="G447" s="0" t="s">
        <v>69</v>
      </c>
      <c r="H447" s="0" t="s">
        <v>2447</v>
      </c>
      <c r="I447" s="0" t="s">
        <v>618</v>
      </c>
      <c r="J447" s="0" t="s">
        <v>619</v>
      </c>
      <c r="K447" s="0" t="s">
        <v>46</v>
      </c>
      <c r="L447" s="0" t="str">
        <f aca="false">HYPERLINK("https://www.ncbi.nlm.nih.gov/snp/rs61965280", "rs61965280")</f>
        <v>rs61965280</v>
      </c>
      <c r="M447" s="0" t="str">
        <f aca="false">HYPERLINK("https://www.genecards.org/Search/Keyword?queryString=%5Baliases%5D(%20FGF14%20)&amp;keywords=FGF14", "FGF14")</f>
        <v>FGF14</v>
      </c>
      <c r="N447" s="0" t="s">
        <v>1888</v>
      </c>
      <c r="O447" s="0" t="s">
        <v>363</v>
      </c>
      <c r="P447" s="0" t="s">
        <v>2448</v>
      </c>
      <c r="Q447" s="0" t="n">
        <v>0.0173</v>
      </c>
      <c r="R447" s="0" t="n">
        <v>0.0169</v>
      </c>
      <c r="S447" s="0" t="n">
        <v>0.0153</v>
      </c>
      <c r="T447" s="0" t="n">
        <v>-1</v>
      </c>
      <c r="U447" s="0" t="n">
        <v>0.021</v>
      </c>
      <c r="V447" s="0" t="s">
        <v>46</v>
      </c>
      <c r="W447" s="0" t="s">
        <v>46</v>
      </c>
      <c r="X447" s="0" t="s">
        <v>46</v>
      </c>
      <c r="Y447" s="0" t="s">
        <v>46</v>
      </c>
      <c r="Z447" s="0" t="s">
        <v>46</v>
      </c>
      <c r="AA447" s="0" t="s">
        <v>46</v>
      </c>
      <c r="AB447" s="0" t="s">
        <v>46</v>
      </c>
      <c r="AC447" s="0" t="s">
        <v>51</v>
      </c>
      <c r="AD447" s="0" t="s">
        <v>52</v>
      </c>
      <c r="AE447" s="0" t="s">
        <v>2449</v>
      </c>
      <c r="AF447" s="0" t="s">
        <v>2450</v>
      </c>
      <c r="AG447" s="0" t="s">
        <v>2451</v>
      </c>
      <c r="AH447" s="0" t="s">
        <v>46</v>
      </c>
      <c r="AI447" s="0" t="s">
        <v>46</v>
      </c>
      <c r="AJ447" s="0" t="s">
        <v>46</v>
      </c>
      <c r="AK447" s="0" t="s">
        <v>46</v>
      </c>
      <c r="AL447" s="0" t="s">
        <v>46</v>
      </c>
    </row>
    <row r="448" customFormat="false" ht="15" hidden="false" customHeight="false" outlineLevel="0" collapsed="false">
      <c r="B448" s="0" t="str">
        <f aca="false">HYPERLINK("https://genome.ucsc.edu/cgi-bin/hgTracks?db=hg19&amp;position=chr14%3A23865810%2D23865810", "chr14:23865810")</f>
        <v>chr14:23865810</v>
      </c>
      <c r="C448" s="0" t="s">
        <v>346</v>
      </c>
      <c r="D448" s="0" t="n">
        <v>23865810</v>
      </c>
      <c r="E448" s="0" t="n">
        <v>23865810</v>
      </c>
      <c r="F448" s="0" t="s">
        <v>57</v>
      </c>
      <c r="G448" s="0" t="s">
        <v>40</v>
      </c>
      <c r="H448" s="0" t="s">
        <v>2452</v>
      </c>
      <c r="I448" s="0" t="s">
        <v>1494</v>
      </c>
      <c r="J448" s="0" t="s">
        <v>2453</v>
      </c>
      <c r="K448" s="0" t="s">
        <v>46</v>
      </c>
      <c r="L448" s="0" t="str">
        <f aca="false">HYPERLINK("https://www.ncbi.nlm.nih.gov/snp/rs149034392", "rs149034392")</f>
        <v>rs149034392</v>
      </c>
      <c r="M448" s="0" t="str">
        <f aca="false">HYPERLINK("https://www.genecards.org/Search/Keyword?queryString=%5Baliases%5D(%20MYH6%20)&amp;keywords=MYH6", "MYH6")</f>
        <v>MYH6</v>
      </c>
      <c r="N448" s="0" t="s">
        <v>62</v>
      </c>
      <c r="O448" s="0" t="s">
        <v>46</v>
      </c>
      <c r="P448" s="0" t="s">
        <v>46</v>
      </c>
      <c r="Q448" s="0" t="n">
        <v>0.0178</v>
      </c>
      <c r="R448" s="0" t="n">
        <v>0.016</v>
      </c>
      <c r="S448" s="0" t="n">
        <v>0.0108</v>
      </c>
      <c r="T448" s="0" t="n">
        <v>-1</v>
      </c>
      <c r="U448" s="0" t="n">
        <v>0.0045</v>
      </c>
      <c r="V448" s="0" t="s">
        <v>46</v>
      </c>
      <c r="W448" s="0" t="s">
        <v>46</v>
      </c>
      <c r="X448" s="0" t="s">
        <v>999</v>
      </c>
      <c r="Y448" s="0" t="s">
        <v>64</v>
      </c>
      <c r="Z448" s="0" t="s">
        <v>46</v>
      </c>
      <c r="AA448" s="0" t="s">
        <v>46</v>
      </c>
      <c r="AB448" s="0" t="s">
        <v>46</v>
      </c>
      <c r="AC448" s="0" t="s">
        <v>51</v>
      </c>
      <c r="AD448" s="0" t="s">
        <v>52</v>
      </c>
      <c r="AE448" s="0" t="s">
        <v>2454</v>
      </c>
      <c r="AF448" s="0" t="s">
        <v>2455</v>
      </c>
      <c r="AG448" s="0" t="s">
        <v>2140</v>
      </c>
      <c r="AH448" s="0" t="s">
        <v>2456</v>
      </c>
      <c r="AI448" s="0" t="s">
        <v>46</v>
      </c>
      <c r="AJ448" s="0" t="s">
        <v>46</v>
      </c>
      <c r="AK448" s="0" t="s">
        <v>46</v>
      </c>
      <c r="AL448" s="0" t="s">
        <v>46</v>
      </c>
    </row>
    <row r="449" customFormat="false" ht="15" hidden="false" customHeight="false" outlineLevel="0" collapsed="false">
      <c r="B449" s="0" t="str">
        <f aca="false">HYPERLINK("https://genome.ucsc.edu/cgi-bin/hgTracks?db=hg19&amp;position=chr14%3A81574845%2D81574845", "chr14:81574845")</f>
        <v>chr14:81574845</v>
      </c>
      <c r="C449" s="0" t="s">
        <v>346</v>
      </c>
      <c r="D449" s="0" t="n">
        <v>81574845</v>
      </c>
      <c r="E449" s="0" t="n">
        <v>81574845</v>
      </c>
      <c r="F449" s="0" t="s">
        <v>200</v>
      </c>
      <c r="G449" s="0" t="s">
        <v>2457</v>
      </c>
      <c r="H449" s="0" t="s">
        <v>2458</v>
      </c>
      <c r="I449" s="0" t="s">
        <v>421</v>
      </c>
      <c r="J449" s="0" t="s">
        <v>2459</v>
      </c>
      <c r="K449" s="0" t="s">
        <v>46</v>
      </c>
      <c r="L449" s="0" t="str">
        <f aca="false">HYPERLINK("https://www.ncbi.nlm.nih.gov/snp/rs567903946", "rs567903946")</f>
        <v>rs567903946</v>
      </c>
      <c r="M449" s="0" t="str">
        <f aca="false">HYPERLINK("https://www.genecards.org/Search/Keyword?queryString=%5Baliases%5D(%20TSHR%20)&amp;keywords=TSHR", "TSHR")</f>
        <v>TSHR</v>
      </c>
      <c r="N449" s="0" t="s">
        <v>2213</v>
      </c>
      <c r="O449" s="0" t="s">
        <v>46</v>
      </c>
      <c r="P449" s="0" t="s">
        <v>46</v>
      </c>
      <c r="Q449" s="0" t="n">
        <v>0.015</v>
      </c>
      <c r="R449" s="0" t="n">
        <v>0.0068</v>
      </c>
      <c r="S449" s="0" t="n">
        <v>0.0045</v>
      </c>
      <c r="T449" s="0" t="n">
        <v>-1</v>
      </c>
      <c r="U449" s="0" t="n">
        <v>0.0069</v>
      </c>
      <c r="V449" s="0" t="s">
        <v>46</v>
      </c>
      <c r="W449" s="0" t="s">
        <v>46</v>
      </c>
      <c r="X449" s="0" t="s">
        <v>46</v>
      </c>
      <c r="Y449" s="0" t="s">
        <v>46</v>
      </c>
      <c r="Z449" s="0" t="s">
        <v>46</v>
      </c>
      <c r="AA449" s="0" t="s">
        <v>46</v>
      </c>
      <c r="AB449" s="0" t="s">
        <v>46</v>
      </c>
      <c r="AC449" s="0" t="s">
        <v>1190</v>
      </c>
      <c r="AD449" s="0" t="s">
        <v>52</v>
      </c>
      <c r="AE449" s="0" t="s">
        <v>2460</v>
      </c>
      <c r="AF449" s="0" t="s">
        <v>2461</v>
      </c>
      <c r="AG449" s="0" t="s">
        <v>2462</v>
      </c>
      <c r="AH449" s="0" t="s">
        <v>2463</v>
      </c>
      <c r="AI449" s="0" t="s">
        <v>46</v>
      </c>
      <c r="AJ449" s="0" t="s">
        <v>46</v>
      </c>
      <c r="AK449" s="0" t="s">
        <v>46</v>
      </c>
      <c r="AL449" s="0" t="s">
        <v>46</v>
      </c>
    </row>
    <row r="450" customFormat="false" ht="15" hidden="false" customHeight="false" outlineLevel="0" collapsed="false">
      <c r="B450" s="0" t="str">
        <f aca="false">HYPERLINK("https://genome.ucsc.edu/cgi-bin/hgTracks?db=hg19&amp;position=chr14%3A104633136%2D104633136", "chr14:104633136")</f>
        <v>chr14:104633136</v>
      </c>
      <c r="C450" s="0" t="s">
        <v>346</v>
      </c>
      <c r="D450" s="0" t="n">
        <v>104633136</v>
      </c>
      <c r="E450" s="0" t="n">
        <v>104633136</v>
      </c>
      <c r="F450" s="0" t="s">
        <v>69</v>
      </c>
      <c r="G450" s="0" t="s">
        <v>57</v>
      </c>
      <c r="H450" s="0" t="s">
        <v>2464</v>
      </c>
      <c r="I450" s="0" t="s">
        <v>1072</v>
      </c>
      <c r="J450" s="0" t="s">
        <v>2465</v>
      </c>
      <c r="K450" s="0" t="s">
        <v>46</v>
      </c>
      <c r="L450" s="0" t="str">
        <f aca="false">HYPERLINK("https://www.ncbi.nlm.nih.gov/snp/rs150545643", "rs150545643")</f>
        <v>rs150545643</v>
      </c>
      <c r="M450" s="0" t="str">
        <f aca="false">HYPERLINK("https://www.genecards.org/Search/Keyword?queryString=%5Baliases%5D(%20KIF26A%20)&amp;keywords=KIF26A", "KIF26A")</f>
        <v>KIF26A</v>
      </c>
      <c r="N450" s="0" t="s">
        <v>62</v>
      </c>
      <c r="O450" s="0" t="s">
        <v>46</v>
      </c>
      <c r="P450" s="0" t="s">
        <v>46</v>
      </c>
      <c r="Q450" s="0" t="n">
        <v>0.0157</v>
      </c>
      <c r="R450" s="0" t="n">
        <v>0.0121</v>
      </c>
      <c r="S450" s="0" t="n">
        <v>0.0119</v>
      </c>
      <c r="T450" s="0" t="n">
        <v>-1</v>
      </c>
      <c r="U450" s="0" t="n">
        <v>0.0124</v>
      </c>
      <c r="V450" s="0" t="s">
        <v>46</v>
      </c>
      <c r="W450" s="0" t="s">
        <v>46</v>
      </c>
      <c r="X450" s="0" t="s">
        <v>999</v>
      </c>
      <c r="Y450" s="0" t="s">
        <v>64</v>
      </c>
      <c r="Z450" s="0" t="s">
        <v>46</v>
      </c>
      <c r="AA450" s="0" t="s">
        <v>46</v>
      </c>
      <c r="AB450" s="0" t="s">
        <v>46</v>
      </c>
      <c r="AC450" s="0" t="s">
        <v>51</v>
      </c>
      <c r="AD450" s="0" t="s">
        <v>52</v>
      </c>
      <c r="AE450" s="0" t="s">
        <v>2466</v>
      </c>
      <c r="AF450" s="0" t="s">
        <v>2467</v>
      </c>
      <c r="AG450" s="0" t="s">
        <v>2468</v>
      </c>
      <c r="AH450" s="0" t="s">
        <v>46</v>
      </c>
      <c r="AI450" s="0" t="s">
        <v>46</v>
      </c>
      <c r="AJ450" s="0" t="s">
        <v>46</v>
      </c>
      <c r="AK450" s="0" t="s">
        <v>46</v>
      </c>
      <c r="AL450" s="0" t="s">
        <v>46</v>
      </c>
    </row>
    <row r="451" customFormat="false" ht="15" hidden="false" customHeight="false" outlineLevel="0" collapsed="false">
      <c r="B451" s="0" t="str">
        <f aca="false">HYPERLINK("https://genome.ucsc.edu/cgi-bin/hgTracks?db=hg19&amp;position=chr14%3A107095452%2D107095452", "chr14:107095452")</f>
        <v>chr14:107095452</v>
      </c>
      <c r="C451" s="0" t="s">
        <v>346</v>
      </c>
      <c r="D451" s="0" t="n">
        <v>107095452</v>
      </c>
      <c r="E451" s="0" t="n">
        <v>107095452</v>
      </c>
      <c r="F451" s="0" t="s">
        <v>57</v>
      </c>
      <c r="G451" s="0" t="s">
        <v>40</v>
      </c>
      <c r="H451" s="0" t="s">
        <v>2469</v>
      </c>
      <c r="I451" s="0" t="s">
        <v>2470</v>
      </c>
      <c r="J451" s="0" t="s">
        <v>2471</v>
      </c>
      <c r="K451" s="0" t="s">
        <v>46</v>
      </c>
      <c r="L451" s="0" t="str">
        <f aca="false">HYPERLINK("https://www.ncbi.nlm.nih.gov/snp/rs782227308", "rs782227308")</f>
        <v>rs782227308</v>
      </c>
      <c r="M451" s="0" t="str">
        <f aca="false">HYPERLINK("https://www.genecards.org/Search/Keyword?queryString=%5Baliases%5D(%20abParts%20)&amp;keywords=abParts", "abParts")</f>
        <v>abParts</v>
      </c>
      <c r="N451" s="0" t="s">
        <v>2472</v>
      </c>
      <c r="O451" s="0" t="s">
        <v>46</v>
      </c>
      <c r="P451" s="0" t="s">
        <v>2473</v>
      </c>
      <c r="Q451" s="0" t="n">
        <v>0.0259</v>
      </c>
      <c r="R451" s="0" t="n">
        <v>0.0148</v>
      </c>
      <c r="S451" s="0" t="n">
        <v>0.0164</v>
      </c>
      <c r="T451" s="0" t="n">
        <v>-1</v>
      </c>
      <c r="U451" s="0" t="n">
        <v>0.013</v>
      </c>
      <c r="V451" s="0" t="s">
        <v>46</v>
      </c>
      <c r="W451" s="0" t="s">
        <v>46</v>
      </c>
      <c r="X451" s="0" t="s">
        <v>999</v>
      </c>
      <c r="Y451" s="0" t="s">
        <v>64</v>
      </c>
      <c r="Z451" s="0" t="s">
        <v>46</v>
      </c>
      <c r="AA451" s="0" t="s">
        <v>46</v>
      </c>
      <c r="AB451" s="0" t="s">
        <v>46</v>
      </c>
      <c r="AC451" s="0" t="s">
        <v>51</v>
      </c>
      <c r="AD451" s="0" t="s">
        <v>52</v>
      </c>
      <c r="AE451" s="0" t="s">
        <v>46</v>
      </c>
      <c r="AF451" s="0" t="s">
        <v>46</v>
      </c>
      <c r="AG451" s="0" t="s">
        <v>46</v>
      </c>
      <c r="AH451" s="0" t="s">
        <v>46</v>
      </c>
      <c r="AI451" s="0" t="s">
        <v>46</v>
      </c>
      <c r="AJ451" s="0" t="s">
        <v>46</v>
      </c>
      <c r="AK451" s="0" t="s">
        <v>46</v>
      </c>
      <c r="AL451" s="0" t="s">
        <v>46</v>
      </c>
    </row>
    <row r="452" customFormat="false" ht="15" hidden="false" customHeight="false" outlineLevel="0" collapsed="false">
      <c r="B452" s="0" t="str">
        <f aca="false">HYPERLINK("https://genome.ucsc.edu/cgi-bin/hgTracks?db=hg19&amp;position=chr15%3A31198050%2D31198060", "chr15:31198050")</f>
        <v>chr15:31198050</v>
      </c>
      <c r="C452" s="0" t="s">
        <v>81</v>
      </c>
      <c r="D452" s="0" t="n">
        <v>31198050</v>
      </c>
      <c r="E452" s="0" t="n">
        <v>31198060</v>
      </c>
      <c r="F452" s="0" t="s">
        <v>2474</v>
      </c>
      <c r="G452" s="0" t="s">
        <v>200</v>
      </c>
      <c r="H452" s="0" t="s">
        <v>2264</v>
      </c>
      <c r="I452" s="0" t="s">
        <v>369</v>
      </c>
      <c r="J452" s="0" t="s">
        <v>2475</v>
      </c>
      <c r="K452" s="0" t="s">
        <v>46</v>
      </c>
      <c r="L452" s="0" t="s">
        <v>46</v>
      </c>
      <c r="M452" s="0" t="str">
        <f aca="false">HYPERLINK("https://www.genecards.org/Search/Keyword?queryString=%5Baliases%5D(%20FAN1%20)&amp;keywords=FAN1", "FAN1")</f>
        <v>FAN1</v>
      </c>
      <c r="N452" s="0" t="s">
        <v>98</v>
      </c>
      <c r="O452" s="0" t="s">
        <v>2265</v>
      </c>
      <c r="P452" s="0" t="s">
        <v>2476</v>
      </c>
      <c r="Q452" s="0" t="n">
        <v>-1</v>
      </c>
      <c r="R452" s="0" t="n">
        <v>-1</v>
      </c>
      <c r="S452" s="0" t="n">
        <v>-1</v>
      </c>
      <c r="T452" s="0" t="n">
        <v>-1</v>
      </c>
      <c r="U452" s="0" t="n">
        <v>-1</v>
      </c>
      <c r="V452" s="0" t="s">
        <v>46</v>
      </c>
      <c r="W452" s="0" t="s">
        <v>46</v>
      </c>
      <c r="X452" s="0" t="s">
        <v>46</v>
      </c>
      <c r="Y452" s="0" t="s">
        <v>46</v>
      </c>
      <c r="Z452" s="0" t="s">
        <v>46</v>
      </c>
      <c r="AA452" s="0" t="s">
        <v>46</v>
      </c>
      <c r="AB452" s="0" t="s">
        <v>46</v>
      </c>
      <c r="AC452" s="0" t="s">
        <v>51</v>
      </c>
      <c r="AD452" s="0" t="s">
        <v>52</v>
      </c>
      <c r="AE452" s="0" t="s">
        <v>2477</v>
      </c>
      <c r="AF452" s="0" t="s">
        <v>2478</v>
      </c>
      <c r="AG452" s="0" t="s">
        <v>2479</v>
      </c>
      <c r="AH452" s="0" t="s">
        <v>2480</v>
      </c>
      <c r="AI452" s="0" t="s">
        <v>46</v>
      </c>
      <c r="AJ452" s="0" t="s">
        <v>46</v>
      </c>
      <c r="AK452" s="0" t="s">
        <v>46</v>
      </c>
      <c r="AL452" s="0" t="s">
        <v>46</v>
      </c>
    </row>
    <row r="453" customFormat="false" ht="15" hidden="false" customHeight="false" outlineLevel="0" collapsed="false">
      <c r="B453" s="0" t="str">
        <f aca="false">HYPERLINK("https://genome.ucsc.edu/cgi-bin/hgTracks?db=hg19&amp;position=chr15%3A40574593%2D40574594", "chr15:40574593")</f>
        <v>chr15:40574593</v>
      </c>
      <c r="C453" s="0" t="s">
        <v>81</v>
      </c>
      <c r="D453" s="0" t="n">
        <v>40574593</v>
      </c>
      <c r="E453" s="0" t="n">
        <v>40574594</v>
      </c>
      <c r="F453" s="0" t="s">
        <v>2309</v>
      </c>
      <c r="G453" s="0" t="s">
        <v>200</v>
      </c>
      <c r="H453" s="0" t="s">
        <v>2441</v>
      </c>
      <c r="I453" s="0" t="s">
        <v>581</v>
      </c>
      <c r="J453" s="0" t="s">
        <v>919</v>
      </c>
      <c r="K453" s="0" t="s">
        <v>46</v>
      </c>
      <c r="L453" s="0" t="s">
        <v>46</v>
      </c>
      <c r="M453" s="0" t="str">
        <f aca="false">HYPERLINK("https://www.genecards.org/Search/Keyword?queryString=%5Baliases%5D(%20ANKRD63%20)&amp;keywords=ANKRD63", "ANKRD63")</f>
        <v>ANKRD63</v>
      </c>
      <c r="N453" s="0" t="s">
        <v>98</v>
      </c>
      <c r="O453" s="0" t="s">
        <v>2265</v>
      </c>
      <c r="P453" s="0" t="s">
        <v>2481</v>
      </c>
      <c r="Q453" s="0" t="n">
        <v>-1</v>
      </c>
      <c r="R453" s="0" t="n">
        <v>-1</v>
      </c>
      <c r="S453" s="0" t="n">
        <v>-1</v>
      </c>
      <c r="T453" s="0" t="n">
        <v>-1</v>
      </c>
      <c r="U453" s="0" t="n">
        <v>-1</v>
      </c>
      <c r="V453" s="0" t="s">
        <v>46</v>
      </c>
      <c r="W453" s="0" t="s">
        <v>46</v>
      </c>
      <c r="X453" s="0" t="s">
        <v>46</v>
      </c>
      <c r="Y453" s="0" t="s">
        <v>46</v>
      </c>
      <c r="Z453" s="0" t="s">
        <v>46</v>
      </c>
      <c r="AA453" s="0" t="s">
        <v>46</v>
      </c>
      <c r="AB453" s="0" t="s">
        <v>46</v>
      </c>
      <c r="AC453" s="0" t="s">
        <v>51</v>
      </c>
      <c r="AD453" s="0" t="s">
        <v>52</v>
      </c>
      <c r="AE453" s="0" t="s">
        <v>46</v>
      </c>
      <c r="AF453" s="0" t="s">
        <v>2482</v>
      </c>
      <c r="AG453" s="0" t="s">
        <v>46</v>
      </c>
      <c r="AH453" s="0" t="s">
        <v>46</v>
      </c>
      <c r="AI453" s="0" t="s">
        <v>46</v>
      </c>
      <c r="AJ453" s="0" t="s">
        <v>46</v>
      </c>
      <c r="AK453" s="0" t="s">
        <v>46</v>
      </c>
      <c r="AL453" s="0" t="s">
        <v>46</v>
      </c>
    </row>
    <row r="454" customFormat="false" ht="15" hidden="false" customHeight="false" outlineLevel="0" collapsed="false">
      <c r="B454" s="0" t="str">
        <f aca="false">HYPERLINK("https://genome.ucsc.edu/cgi-bin/hgTracks?db=hg19&amp;position=chr15%3A41680574%2D41680574", "chr15:41680574")</f>
        <v>chr15:41680574</v>
      </c>
      <c r="C454" s="0" t="s">
        <v>81</v>
      </c>
      <c r="D454" s="0" t="n">
        <v>41680574</v>
      </c>
      <c r="E454" s="0" t="n">
        <v>41680574</v>
      </c>
      <c r="F454" s="0" t="s">
        <v>57</v>
      </c>
      <c r="G454" s="0" t="s">
        <v>39</v>
      </c>
      <c r="H454" s="0" t="s">
        <v>1102</v>
      </c>
      <c r="I454" s="0" t="s">
        <v>559</v>
      </c>
      <c r="J454" s="0" t="s">
        <v>560</v>
      </c>
      <c r="K454" s="0" t="s">
        <v>46</v>
      </c>
      <c r="L454" s="0" t="s">
        <v>46</v>
      </c>
      <c r="M454" s="0" t="str">
        <f aca="false">HYPERLINK("https://www.genecards.org/Search/Keyword?queryString=%5Baliases%5D(%20NDUFAF1%20)&amp;keywords=NDUFAF1", "NDUFAF1")</f>
        <v>NDUFAF1</v>
      </c>
      <c r="N454" s="0" t="s">
        <v>2483</v>
      </c>
      <c r="O454" s="0" t="s">
        <v>46</v>
      </c>
      <c r="P454" s="0" t="s">
        <v>2484</v>
      </c>
      <c r="Q454" s="0" t="n">
        <v>-1</v>
      </c>
      <c r="R454" s="0" t="n">
        <v>-1</v>
      </c>
      <c r="S454" s="0" t="n">
        <v>-1</v>
      </c>
      <c r="T454" s="0" t="n">
        <v>-1</v>
      </c>
      <c r="U454" s="0" t="n">
        <v>-1</v>
      </c>
      <c r="V454" s="0" t="s">
        <v>46</v>
      </c>
      <c r="W454" s="0" t="s">
        <v>46</v>
      </c>
      <c r="X454" s="0" t="s">
        <v>2255</v>
      </c>
      <c r="Y454" s="0" t="s">
        <v>64</v>
      </c>
      <c r="Z454" s="0" t="s">
        <v>46</v>
      </c>
      <c r="AA454" s="0" t="s">
        <v>46</v>
      </c>
      <c r="AB454" s="0" t="s">
        <v>46</v>
      </c>
      <c r="AC454" s="0" t="s">
        <v>51</v>
      </c>
      <c r="AD454" s="0" t="s">
        <v>52</v>
      </c>
      <c r="AE454" s="0" t="s">
        <v>2485</v>
      </c>
      <c r="AF454" s="0" t="s">
        <v>2486</v>
      </c>
      <c r="AG454" s="0" t="s">
        <v>2487</v>
      </c>
      <c r="AH454" s="0" t="s">
        <v>46</v>
      </c>
      <c r="AI454" s="0" t="s">
        <v>46</v>
      </c>
      <c r="AJ454" s="0" t="s">
        <v>46</v>
      </c>
      <c r="AK454" s="0" t="s">
        <v>46</v>
      </c>
      <c r="AL454" s="0" t="s">
        <v>46</v>
      </c>
    </row>
    <row r="455" customFormat="false" ht="15" hidden="false" customHeight="false" outlineLevel="0" collapsed="false">
      <c r="B455" s="0" t="str">
        <f aca="false">HYPERLINK("https://genome.ucsc.edu/cgi-bin/hgTracks?db=hg19&amp;position=chr15%3A57924792%2D57924792", "chr15:57924792")</f>
        <v>chr15:57924792</v>
      </c>
      <c r="C455" s="0" t="s">
        <v>81</v>
      </c>
      <c r="D455" s="0" t="n">
        <v>57924792</v>
      </c>
      <c r="E455" s="0" t="n">
        <v>57924792</v>
      </c>
      <c r="F455" s="0" t="s">
        <v>69</v>
      </c>
      <c r="G455" s="0" t="s">
        <v>57</v>
      </c>
      <c r="H455" s="0" t="s">
        <v>2488</v>
      </c>
      <c r="I455" s="0" t="s">
        <v>924</v>
      </c>
      <c r="J455" s="0" t="s">
        <v>2489</v>
      </c>
      <c r="K455" s="0" t="s">
        <v>46</v>
      </c>
      <c r="L455" s="0" t="str">
        <f aca="false">HYPERLINK("https://www.ncbi.nlm.nih.gov/snp/rs186257211", "rs186257211")</f>
        <v>rs186257211</v>
      </c>
      <c r="M455" s="0" t="str">
        <f aca="false">HYPERLINK("https://www.genecards.org/Search/Keyword?queryString=%5Baliases%5D(%20GCOM1%20)%20OR%20%5Baliases%5D(%20MYZAP%20)&amp;keywords=GCOM1,MYZAP", "GCOM1;MYZAP")</f>
        <v>GCOM1;MYZAP</v>
      </c>
      <c r="N455" s="0" t="s">
        <v>62</v>
      </c>
      <c r="O455" s="0" t="s">
        <v>46</v>
      </c>
      <c r="P455" s="0" t="s">
        <v>46</v>
      </c>
      <c r="Q455" s="0" t="n">
        <v>0.0069</v>
      </c>
      <c r="R455" s="0" t="n">
        <v>0.0033</v>
      </c>
      <c r="S455" s="0" t="n">
        <v>0.0035</v>
      </c>
      <c r="T455" s="0" t="n">
        <v>-1</v>
      </c>
      <c r="U455" s="0" t="n">
        <v>0.004</v>
      </c>
      <c r="V455" s="0" t="s">
        <v>46</v>
      </c>
      <c r="W455" s="0" t="s">
        <v>46</v>
      </c>
      <c r="X455" s="0" t="s">
        <v>2255</v>
      </c>
      <c r="Y455" s="0" t="s">
        <v>64</v>
      </c>
      <c r="Z455" s="0" t="s">
        <v>46</v>
      </c>
      <c r="AA455" s="0" t="s">
        <v>46</v>
      </c>
      <c r="AB455" s="0" t="s">
        <v>46</v>
      </c>
      <c r="AC455" s="0" t="s">
        <v>51</v>
      </c>
      <c r="AD455" s="0" t="s">
        <v>437</v>
      </c>
      <c r="AE455" s="0" t="s">
        <v>2490</v>
      </c>
      <c r="AF455" s="0" t="s">
        <v>2491</v>
      </c>
      <c r="AG455" s="0" t="s">
        <v>2492</v>
      </c>
      <c r="AH455" s="0" t="s">
        <v>46</v>
      </c>
      <c r="AI455" s="0" t="s">
        <v>46</v>
      </c>
      <c r="AJ455" s="0" t="s">
        <v>46</v>
      </c>
      <c r="AK455" s="0" t="s">
        <v>46</v>
      </c>
      <c r="AL455" s="0" t="s">
        <v>46</v>
      </c>
    </row>
    <row r="456" customFormat="false" ht="15" hidden="false" customHeight="false" outlineLevel="0" collapsed="false">
      <c r="B456" s="0" t="str">
        <f aca="false">HYPERLINK("https://genome.ucsc.edu/cgi-bin/hgTracks?db=hg19&amp;position=chr15%3A66782127%2D66782127", "chr15:66782127")</f>
        <v>chr15:66782127</v>
      </c>
      <c r="C456" s="0" t="s">
        <v>81</v>
      </c>
      <c r="D456" s="0" t="n">
        <v>66782127</v>
      </c>
      <c r="E456" s="0" t="n">
        <v>66782127</v>
      </c>
      <c r="F456" s="0" t="s">
        <v>57</v>
      </c>
      <c r="G456" s="0" t="s">
        <v>200</v>
      </c>
      <c r="H456" s="0" t="s">
        <v>2493</v>
      </c>
      <c r="I456" s="0" t="s">
        <v>133</v>
      </c>
      <c r="J456" s="0" t="s">
        <v>2494</v>
      </c>
      <c r="K456" s="0" t="s">
        <v>46</v>
      </c>
      <c r="L456" s="0" t="s">
        <v>46</v>
      </c>
      <c r="M456" s="0" t="str">
        <f aca="false">HYPERLINK("https://www.genecards.org/Search/Keyword?queryString=%5Baliases%5D(%20MAP2K1%20)%20OR%20%5Baliases%5D(%20SNAPC5%20)&amp;keywords=MAP2K1,SNAPC5", "MAP2K1;SNAPC5")</f>
        <v>MAP2K1;SNAPC5</v>
      </c>
      <c r="N456" s="0" t="s">
        <v>2495</v>
      </c>
      <c r="O456" s="0" t="s">
        <v>46</v>
      </c>
      <c r="P456" s="0" t="s">
        <v>2496</v>
      </c>
      <c r="Q456" s="0" t="n">
        <v>-1</v>
      </c>
      <c r="R456" s="0" t="n">
        <v>-1</v>
      </c>
      <c r="S456" s="0" t="n">
        <v>-1</v>
      </c>
      <c r="T456" s="0" t="n">
        <v>-1</v>
      </c>
      <c r="U456" s="0" t="n">
        <v>-1</v>
      </c>
      <c r="V456" s="0" t="s">
        <v>46</v>
      </c>
      <c r="W456" s="0" t="s">
        <v>46</v>
      </c>
      <c r="X456" s="0" t="s">
        <v>46</v>
      </c>
      <c r="Y456" s="0" t="s">
        <v>46</v>
      </c>
      <c r="Z456" s="0" t="s">
        <v>46</v>
      </c>
      <c r="AA456" s="0" t="s">
        <v>46</v>
      </c>
      <c r="AB456" s="0" t="s">
        <v>46</v>
      </c>
      <c r="AC456" s="0" t="s">
        <v>51</v>
      </c>
      <c r="AD456" s="0" t="s">
        <v>437</v>
      </c>
      <c r="AE456" s="0" t="s">
        <v>2497</v>
      </c>
      <c r="AF456" s="0" t="s">
        <v>2498</v>
      </c>
      <c r="AG456" s="0" t="s">
        <v>2499</v>
      </c>
      <c r="AH456" s="0" t="s">
        <v>2500</v>
      </c>
      <c r="AI456" s="0" t="s">
        <v>46</v>
      </c>
      <c r="AJ456" s="0" t="s">
        <v>46</v>
      </c>
      <c r="AK456" s="0" t="s">
        <v>46</v>
      </c>
      <c r="AL456" s="0" t="s">
        <v>46</v>
      </c>
    </row>
    <row r="457" customFormat="false" ht="15" hidden="false" customHeight="false" outlineLevel="0" collapsed="false">
      <c r="B457" s="0" t="str">
        <f aca="false">HYPERLINK("https://genome.ucsc.edu/cgi-bin/hgTracks?db=hg19&amp;position=chr15%3A99505555%2D99505555", "chr15:99505555")</f>
        <v>chr15:99505555</v>
      </c>
      <c r="C457" s="0" t="s">
        <v>81</v>
      </c>
      <c r="D457" s="0" t="n">
        <v>99505555</v>
      </c>
      <c r="E457" s="0" t="n">
        <v>99505555</v>
      </c>
      <c r="F457" s="0" t="s">
        <v>69</v>
      </c>
      <c r="G457" s="0" t="s">
        <v>57</v>
      </c>
      <c r="H457" s="0" t="s">
        <v>2501</v>
      </c>
      <c r="I457" s="0" t="s">
        <v>144</v>
      </c>
      <c r="J457" s="0" t="s">
        <v>2502</v>
      </c>
      <c r="K457" s="0" t="s">
        <v>46</v>
      </c>
      <c r="L457" s="0" t="s">
        <v>46</v>
      </c>
      <c r="M457" s="0" t="str">
        <f aca="false">HYPERLINK("https://www.genecards.org/Search/Keyword?queryString=%5Baliases%5D(%20IGF1R%20)&amp;keywords=IGF1R", "IGF1R")</f>
        <v>IGF1R</v>
      </c>
      <c r="N457" s="0" t="s">
        <v>86</v>
      </c>
      <c r="O457" s="0" t="s">
        <v>46</v>
      </c>
      <c r="P457" s="0" t="s">
        <v>2503</v>
      </c>
      <c r="Q457" s="0" t="n">
        <v>-1</v>
      </c>
      <c r="R457" s="0" t="n">
        <v>-1</v>
      </c>
      <c r="S457" s="0" t="n">
        <v>-1</v>
      </c>
      <c r="T457" s="0" t="n">
        <v>-1</v>
      </c>
      <c r="U457" s="0" t="n">
        <v>-1</v>
      </c>
      <c r="V457" s="0" t="s">
        <v>46</v>
      </c>
      <c r="W457" s="0" t="s">
        <v>46</v>
      </c>
      <c r="X457" s="0" t="s">
        <v>46</v>
      </c>
      <c r="Y457" s="0" t="s">
        <v>46</v>
      </c>
      <c r="Z457" s="0" t="s">
        <v>46</v>
      </c>
      <c r="AA457" s="0" t="s">
        <v>46</v>
      </c>
      <c r="AB457" s="0" t="s">
        <v>46</v>
      </c>
      <c r="AC457" s="0" t="s">
        <v>51</v>
      </c>
      <c r="AD457" s="0" t="s">
        <v>88</v>
      </c>
      <c r="AE457" s="0" t="s">
        <v>89</v>
      </c>
      <c r="AF457" s="0" t="s">
        <v>90</v>
      </c>
      <c r="AG457" s="0" t="s">
        <v>91</v>
      </c>
      <c r="AH457" s="0" t="s">
        <v>92</v>
      </c>
      <c r="AI457" s="0" t="s">
        <v>46</v>
      </c>
      <c r="AJ457" s="0" t="s">
        <v>46</v>
      </c>
      <c r="AK457" s="0" t="s">
        <v>46</v>
      </c>
      <c r="AL457" s="0" t="s">
        <v>46</v>
      </c>
    </row>
    <row r="458" customFormat="false" ht="15" hidden="false" customHeight="false" outlineLevel="0" collapsed="false">
      <c r="B458" s="0" t="str">
        <f aca="false">HYPERLINK("https://genome.ucsc.edu/cgi-bin/hgTracks?db=hg19&amp;position=chr15%3A100518304%2D100518304", "chr15:100518304")</f>
        <v>chr15:100518304</v>
      </c>
      <c r="C458" s="0" t="s">
        <v>81</v>
      </c>
      <c r="D458" s="0" t="n">
        <v>100518304</v>
      </c>
      <c r="E458" s="0" t="n">
        <v>100518304</v>
      </c>
      <c r="F458" s="0" t="s">
        <v>39</v>
      </c>
      <c r="G458" s="0" t="s">
        <v>40</v>
      </c>
      <c r="H458" s="0" t="s">
        <v>2504</v>
      </c>
      <c r="I458" s="0" t="s">
        <v>1229</v>
      </c>
      <c r="J458" s="0" t="s">
        <v>2505</v>
      </c>
      <c r="K458" s="0" t="s">
        <v>46</v>
      </c>
      <c r="L458" s="0" t="str">
        <f aca="false">HYPERLINK("https://www.ncbi.nlm.nih.gov/snp/rs755632817", "rs755632817")</f>
        <v>rs755632817</v>
      </c>
      <c r="M458" s="0" t="str">
        <f aca="false">HYPERLINK("https://www.genecards.org/Search/Keyword?queryString=%5Baliases%5D(%20ADAMTS17%20)&amp;keywords=ADAMTS17", "ADAMTS17")</f>
        <v>ADAMTS17</v>
      </c>
      <c r="N458" s="0" t="s">
        <v>2213</v>
      </c>
      <c r="O458" s="0" t="s">
        <v>46</v>
      </c>
      <c r="P458" s="0" t="s">
        <v>46</v>
      </c>
      <c r="Q458" s="0" t="n">
        <v>0.0055</v>
      </c>
      <c r="R458" s="0" t="n">
        <v>0.0042</v>
      </c>
      <c r="S458" s="0" t="n">
        <v>0.004</v>
      </c>
      <c r="T458" s="0" t="n">
        <v>-1</v>
      </c>
      <c r="U458" s="0" t="n">
        <v>0.0065</v>
      </c>
      <c r="V458" s="0" t="s">
        <v>46</v>
      </c>
      <c r="W458" s="0" t="s">
        <v>46</v>
      </c>
      <c r="X458" s="0" t="s">
        <v>46</v>
      </c>
      <c r="Y458" s="0" t="s">
        <v>46</v>
      </c>
      <c r="Z458" s="0" t="s">
        <v>46</v>
      </c>
      <c r="AA458" s="0" t="s">
        <v>46</v>
      </c>
      <c r="AB458" s="0" t="s">
        <v>46</v>
      </c>
      <c r="AC458" s="0" t="s">
        <v>1190</v>
      </c>
      <c r="AD458" s="0" t="s">
        <v>856</v>
      </c>
      <c r="AE458" s="0" t="s">
        <v>2506</v>
      </c>
      <c r="AF458" s="0" t="s">
        <v>2507</v>
      </c>
      <c r="AG458" s="0" t="s">
        <v>46</v>
      </c>
      <c r="AH458" s="0" t="s">
        <v>2508</v>
      </c>
      <c r="AI458" s="0" t="s">
        <v>46</v>
      </c>
      <c r="AJ458" s="0" t="s">
        <v>46</v>
      </c>
      <c r="AK458" s="0" t="s">
        <v>46</v>
      </c>
      <c r="AL458" s="0" t="s">
        <v>46</v>
      </c>
    </row>
    <row r="459" customFormat="false" ht="15" hidden="false" customHeight="false" outlineLevel="0" collapsed="false">
      <c r="B459" s="0" t="str">
        <f aca="false">HYPERLINK("https://genome.ucsc.edu/cgi-bin/hgTracks?db=hg19&amp;position=chr15%3A100672187%2D100672187", "chr15:100672187")</f>
        <v>chr15:100672187</v>
      </c>
      <c r="C459" s="0" t="s">
        <v>81</v>
      </c>
      <c r="D459" s="0" t="n">
        <v>100672187</v>
      </c>
      <c r="E459" s="0" t="n">
        <v>100672187</v>
      </c>
      <c r="F459" s="0" t="s">
        <v>69</v>
      </c>
      <c r="G459" s="0" t="s">
        <v>39</v>
      </c>
      <c r="H459" s="0" t="s">
        <v>2509</v>
      </c>
      <c r="I459" s="0" t="s">
        <v>1323</v>
      </c>
      <c r="J459" s="0" t="s">
        <v>2510</v>
      </c>
      <c r="K459" s="0" t="s">
        <v>46</v>
      </c>
      <c r="L459" s="0" t="str">
        <f aca="false">HYPERLINK("https://www.ncbi.nlm.nih.gov/snp/rs773424185", "rs773424185")</f>
        <v>rs773424185</v>
      </c>
      <c r="M459" s="0" t="str">
        <f aca="false">HYPERLINK("https://www.genecards.org/Search/Keyword?queryString=%5Baliases%5D(%20ADAMTS17%20)&amp;keywords=ADAMTS17", "ADAMTS17")</f>
        <v>ADAMTS17</v>
      </c>
      <c r="N459" s="0" t="s">
        <v>62</v>
      </c>
      <c r="O459" s="0" t="s">
        <v>46</v>
      </c>
      <c r="P459" s="0" t="s">
        <v>46</v>
      </c>
      <c r="Q459" s="0" t="n">
        <v>6.5E-006</v>
      </c>
      <c r="R459" s="0" t="n">
        <v>-1</v>
      </c>
      <c r="S459" s="0" t="n">
        <v>-1</v>
      </c>
      <c r="T459" s="0" t="n">
        <v>-1</v>
      </c>
      <c r="U459" s="0" t="n">
        <v>-1</v>
      </c>
      <c r="V459" s="0" t="s">
        <v>46</v>
      </c>
      <c r="W459" s="0" t="s">
        <v>46</v>
      </c>
      <c r="X459" s="0" t="s">
        <v>2255</v>
      </c>
      <c r="Y459" s="0" t="s">
        <v>64</v>
      </c>
      <c r="Z459" s="0" t="s">
        <v>46</v>
      </c>
      <c r="AA459" s="0" t="s">
        <v>46</v>
      </c>
      <c r="AB459" s="0" t="s">
        <v>46</v>
      </c>
      <c r="AC459" s="0" t="s">
        <v>51</v>
      </c>
      <c r="AD459" s="0" t="s">
        <v>856</v>
      </c>
      <c r="AE459" s="0" t="s">
        <v>2506</v>
      </c>
      <c r="AF459" s="0" t="s">
        <v>2507</v>
      </c>
      <c r="AG459" s="0" t="s">
        <v>46</v>
      </c>
      <c r="AH459" s="0" t="s">
        <v>2508</v>
      </c>
      <c r="AI459" s="0" t="s">
        <v>46</v>
      </c>
      <c r="AJ459" s="0" t="s">
        <v>46</v>
      </c>
      <c r="AK459" s="0" t="s">
        <v>46</v>
      </c>
      <c r="AL459" s="0" t="s">
        <v>46</v>
      </c>
    </row>
    <row r="460" customFormat="false" ht="15" hidden="false" customHeight="false" outlineLevel="0" collapsed="false">
      <c r="B460" s="0" t="str">
        <f aca="false">HYPERLINK("https://genome.ucsc.edu/cgi-bin/hgTracks?db=hg19&amp;position=chr15%3A101847615%2D101847615", "chr15:101847615")</f>
        <v>chr15:101847615</v>
      </c>
      <c r="C460" s="0" t="s">
        <v>81</v>
      </c>
      <c r="D460" s="0" t="n">
        <v>101847615</v>
      </c>
      <c r="E460" s="0" t="n">
        <v>101847615</v>
      </c>
      <c r="F460" s="0" t="s">
        <v>39</v>
      </c>
      <c r="G460" s="0" t="s">
        <v>40</v>
      </c>
      <c r="H460" s="0" t="s">
        <v>2090</v>
      </c>
      <c r="I460" s="0" t="s">
        <v>311</v>
      </c>
      <c r="J460" s="0" t="s">
        <v>312</v>
      </c>
      <c r="K460" s="0" t="s">
        <v>46</v>
      </c>
      <c r="L460" s="0" t="str">
        <f aca="false">HYPERLINK("https://www.ncbi.nlm.nih.gov/snp/rs117972449", "rs117972449")</f>
        <v>rs117972449</v>
      </c>
      <c r="M460" s="0" t="str">
        <f aca="false">HYPERLINK("https://www.genecards.org/Search/Keyword?queryString=%5Baliases%5D(%20LOC100507472%20)&amp;keywords=LOC100507472", "LOC100507472")</f>
        <v>LOC100507472</v>
      </c>
      <c r="N460" s="0" t="s">
        <v>1261</v>
      </c>
      <c r="O460" s="0" t="s">
        <v>46</v>
      </c>
      <c r="P460" s="0" t="s">
        <v>46</v>
      </c>
      <c r="Q460" s="0" t="n">
        <v>0.0119</v>
      </c>
      <c r="R460" s="0" t="n">
        <v>0.0092</v>
      </c>
      <c r="S460" s="0" t="n">
        <v>0.0087</v>
      </c>
      <c r="T460" s="0" t="n">
        <v>-1</v>
      </c>
      <c r="U460" s="0" t="n">
        <v>0.0087</v>
      </c>
      <c r="V460" s="0" t="s">
        <v>46</v>
      </c>
      <c r="W460" s="0" t="s">
        <v>46</v>
      </c>
      <c r="X460" s="0" t="s">
        <v>2255</v>
      </c>
      <c r="Y460" s="0" t="s">
        <v>64</v>
      </c>
      <c r="Z460" s="0" t="s">
        <v>46</v>
      </c>
      <c r="AA460" s="0" t="s">
        <v>46</v>
      </c>
      <c r="AB460" s="0" t="s">
        <v>46</v>
      </c>
      <c r="AC460" s="0" t="s">
        <v>51</v>
      </c>
      <c r="AD460" s="0" t="s">
        <v>52</v>
      </c>
      <c r="AE460" s="0" t="s">
        <v>46</v>
      </c>
      <c r="AF460" s="0" t="s">
        <v>46</v>
      </c>
      <c r="AG460" s="0" t="s">
        <v>46</v>
      </c>
      <c r="AH460" s="0" t="s">
        <v>46</v>
      </c>
      <c r="AI460" s="0" t="s">
        <v>46</v>
      </c>
      <c r="AJ460" s="0" t="s">
        <v>46</v>
      </c>
      <c r="AK460" s="0" t="s">
        <v>46</v>
      </c>
      <c r="AL460" s="0" t="s">
        <v>46</v>
      </c>
    </row>
    <row r="461" customFormat="false" ht="15" hidden="false" customHeight="false" outlineLevel="0" collapsed="false">
      <c r="B461" s="0" t="str">
        <f aca="false">HYPERLINK("https://genome.ucsc.edu/cgi-bin/hgTracks?db=hg19&amp;position=chr16%3A325614%2D325614", "chr16:325614")</f>
        <v>chr16:325614</v>
      </c>
      <c r="C461" s="0" t="s">
        <v>271</v>
      </c>
      <c r="D461" s="0" t="n">
        <v>325614</v>
      </c>
      <c r="E461" s="0" t="n">
        <v>325614</v>
      </c>
      <c r="F461" s="0" t="s">
        <v>40</v>
      </c>
      <c r="G461" s="0" t="s">
        <v>39</v>
      </c>
      <c r="H461" s="0" t="s">
        <v>2511</v>
      </c>
      <c r="I461" s="0" t="s">
        <v>111</v>
      </c>
      <c r="J461" s="0" t="s">
        <v>2360</v>
      </c>
      <c r="K461" s="0" t="s">
        <v>46</v>
      </c>
      <c r="L461" s="0" t="str">
        <f aca="false">HYPERLINK("https://www.ncbi.nlm.nih.gov/snp/rs150803572", "rs150803572")</f>
        <v>rs150803572</v>
      </c>
      <c r="M461" s="0" t="str">
        <f aca="false">HYPERLINK("https://www.genecards.org/Search/Keyword?queryString=%5Baliases%5D(%20LUC7L%20)%20OR%20%5Baliases%5D(%20RGS11%20)&amp;keywords=LUC7L,RGS11", "LUC7L;RGS11")</f>
        <v>LUC7L;RGS11</v>
      </c>
      <c r="N461" s="0" t="s">
        <v>2213</v>
      </c>
      <c r="O461" s="0" t="s">
        <v>46</v>
      </c>
      <c r="P461" s="0" t="s">
        <v>46</v>
      </c>
      <c r="Q461" s="0" t="n">
        <v>0.006757</v>
      </c>
      <c r="R461" s="0" t="n">
        <v>0.0027</v>
      </c>
      <c r="S461" s="0" t="n">
        <v>0.003</v>
      </c>
      <c r="T461" s="0" t="n">
        <v>-1</v>
      </c>
      <c r="U461" s="0" t="n">
        <v>0.0041</v>
      </c>
      <c r="V461" s="0" t="s">
        <v>46</v>
      </c>
      <c r="W461" s="0" t="s">
        <v>46</v>
      </c>
      <c r="X461" s="0" t="s">
        <v>2255</v>
      </c>
      <c r="Y461" s="0" t="s">
        <v>64</v>
      </c>
      <c r="Z461" s="0" t="s">
        <v>46</v>
      </c>
      <c r="AA461" s="0" t="s">
        <v>46</v>
      </c>
      <c r="AB461" s="0" t="s">
        <v>46</v>
      </c>
      <c r="AC461" s="0" t="s">
        <v>51</v>
      </c>
      <c r="AD461" s="0" t="s">
        <v>437</v>
      </c>
      <c r="AE461" s="0" t="s">
        <v>2512</v>
      </c>
      <c r="AF461" s="0" t="s">
        <v>2513</v>
      </c>
      <c r="AG461" s="0" t="s">
        <v>2514</v>
      </c>
      <c r="AH461" s="0" t="s">
        <v>46</v>
      </c>
      <c r="AI461" s="0" t="s">
        <v>46</v>
      </c>
      <c r="AJ461" s="0" t="s">
        <v>46</v>
      </c>
      <c r="AK461" s="0" t="s">
        <v>46</v>
      </c>
      <c r="AL461" s="0" t="s">
        <v>46</v>
      </c>
    </row>
    <row r="462" customFormat="false" ht="15" hidden="false" customHeight="false" outlineLevel="0" collapsed="false">
      <c r="B462" s="0" t="str">
        <f aca="false">HYPERLINK("https://genome.ucsc.edu/cgi-bin/hgTracks?db=hg19&amp;position=chr16%3A983907%2D983907", "chr16:983907")</f>
        <v>chr16:983907</v>
      </c>
      <c r="C462" s="0" t="s">
        <v>271</v>
      </c>
      <c r="D462" s="0" t="n">
        <v>983907</v>
      </c>
      <c r="E462" s="0" t="n">
        <v>983907</v>
      </c>
      <c r="F462" s="0" t="s">
        <v>69</v>
      </c>
      <c r="G462" s="0" t="s">
        <v>57</v>
      </c>
      <c r="H462" s="0" t="s">
        <v>2515</v>
      </c>
      <c r="I462" s="0" t="s">
        <v>133</v>
      </c>
      <c r="J462" s="0" t="s">
        <v>2104</v>
      </c>
      <c r="K462" s="0" t="s">
        <v>46</v>
      </c>
      <c r="L462" s="0" t="str">
        <f aca="false">HYPERLINK("https://www.ncbi.nlm.nih.gov/snp/rs144265545", "rs144265545")</f>
        <v>rs144265545</v>
      </c>
      <c r="M462" s="0" t="str">
        <f aca="false">HYPERLINK("https://www.genecards.org/Search/Keyword?queryString=%5Baliases%5D(%20LMF1%20)%20OR%20%5Baliases%5D(%20LMF1-AS1%20)&amp;keywords=LMF1,LMF1-AS1", "LMF1;LMF1-AS1")</f>
        <v>LMF1;LMF1-AS1</v>
      </c>
      <c r="N462" s="0" t="s">
        <v>1261</v>
      </c>
      <c r="O462" s="0" t="s">
        <v>46</v>
      </c>
      <c r="P462" s="0" t="s">
        <v>46</v>
      </c>
      <c r="Q462" s="0" t="n">
        <v>0.0115</v>
      </c>
      <c r="R462" s="0" t="n">
        <v>0.0072</v>
      </c>
      <c r="S462" s="0" t="n">
        <v>0.0079</v>
      </c>
      <c r="T462" s="0" t="n">
        <v>-1</v>
      </c>
      <c r="U462" s="0" t="n">
        <v>0.0058</v>
      </c>
      <c r="V462" s="0" t="s">
        <v>46</v>
      </c>
      <c r="W462" s="0" t="s">
        <v>46</v>
      </c>
      <c r="X462" s="0" t="s">
        <v>46</v>
      </c>
      <c r="Y462" s="0" t="s">
        <v>46</v>
      </c>
      <c r="Z462" s="0" t="s">
        <v>46</v>
      </c>
      <c r="AA462" s="0" t="s">
        <v>46</v>
      </c>
      <c r="AB462" s="0" t="s">
        <v>46</v>
      </c>
      <c r="AC462" s="0" t="s">
        <v>51</v>
      </c>
      <c r="AD462" s="0" t="s">
        <v>437</v>
      </c>
      <c r="AE462" s="0" t="s">
        <v>2516</v>
      </c>
      <c r="AF462" s="0" t="s">
        <v>2517</v>
      </c>
      <c r="AG462" s="0" t="s">
        <v>2518</v>
      </c>
      <c r="AH462" s="0" t="s">
        <v>2519</v>
      </c>
      <c r="AI462" s="0" t="s">
        <v>46</v>
      </c>
      <c r="AJ462" s="0" t="s">
        <v>46</v>
      </c>
      <c r="AK462" s="0" t="s">
        <v>46</v>
      </c>
      <c r="AL462" s="0" t="s">
        <v>46</v>
      </c>
    </row>
    <row r="463" customFormat="false" ht="15" hidden="false" customHeight="false" outlineLevel="0" collapsed="false">
      <c r="B463" s="0" t="str">
        <f aca="false">HYPERLINK("https://genome.ucsc.edu/cgi-bin/hgTracks?db=hg19&amp;position=chr16%3A1642699%2D1642699", "chr16:1642699")</f>
        <v>chr16:1642699</v>
      </c>
      <c r="C463" s="0" t="s">
        <v>271</v>
      </c>
      <c r="D463" s="0" t="n">
        <v>1642699</v>
      </c>
      <c r="E463" s="0" t="n">
        <v>1642699</v>
      </c>
      <c r="F463" s="0" t="s">
        <v>69</v>
      </c>
      <c r="G463" s="0" t="s">
        <v>57</v>
      </c>
      <c r="H463" s="0" t="s">
        <v>420</v>
      </c>
      <c r="I463" s="0" t="s">
        <v>559</v>
      </c>
      <c r="J463" s="0" t="s">
        <v>2520</v>
      </c>
      <c r="K463" s="0" t="s">
        <v>46</v>
      </c>
      <c r="L463" s="0" t="str">
        <f aca="false">HYPERLINK("https://www.ncbi.nlm.nih.gov/snp/rs141244693", "rs141244693")</f>
        <v>rs141244693</v>
      </c>
      <c r="M463" s="0" t="str">
        <f aca="false">HYPERLINK("https://www.genecards.org/Search/Keyword?queryString=%5Baliases%5D(%20IFT140%20)%20OR%20%5Baliases%5D(%20LOC105371046%20)&amp;keywords=IFT140,LOC105371046", "IFT140;LOC105371046")</f>
        <v>IFT140;LOC105371046</v>
      </c>
      <c r="N463" s="0" t="s">
        <v>2213</v>
      </c>
      <c r="O463" s="0" t="s">
        <v>46</v>
      </c>
      <c r="P463" s="0" t="s">
        <v>46</v>
      </c>
      <c r="Q463" s="0" t="n">
        <v>0.0119</v>
      </c>
      <c r="R463" s="0" t="n">
        <v>0.0117</v>
      </c>
      <c r="S463" s="0" t="n">
        <v>0.0112</v>
      </c>
      <c r="T463" s="0" t="n">
        <v>-1</v>
      </c>
      <c r="U463" s="0" t="n">
        <v>0.0133</v>
      </c>
      <c r="V463" s="0" t="s">
        <v>46</v>
      </c>
      <c r="W463" s="0" t="s">
        <v>46</v>
      </c>
      <c r="X463" s="0" t="s">
        <v>63</v>
      </c>
      <c r="Y463" s="0" t="s">
        <v>64</v>
      </c>
      <c r="Z463" s="0" t="s">
        <v>46</v>
      </c>
      <c r="AA463" s="0" t="s">
        <v>46</v>
      </c>
      <c r="AB463" s="0" t="s">
        <v>46</v>
      </c>
      <c r="AC463" s="0" t="s">
        <v>51</v>
      </c>
      <c r="AD463" s="0" t="s">
        <v>437</v>
      </c>
      <c r="AE463" s="0" t="s">
        <v>2521</v>
      </c>
      <c r="AF463" s="0" t="s">
        <v>2522</v>
      </c>
      <c r="AG463" s="0" t="s">
        <v>2523</v>
      </c>
      <c r="AH463" s="0" t="s">
        <v>2524</v>
      </c>
      <c r="AI463" s="0" t="s">
        <v>46</v>
      </c>
      <c r="AJ463" s="0" t="s">
        <v>46</v>
      </c>
      <c r="AK463" s="0" t="s">
        <v>46</v>
      </c>
      <c r="AL463" s="0" t="s">
        <v>46</v>
      </c>
    </row>
    <row r="464" customFormat="false" ht="15" hidden="false" customHeight="false" outlineLevel="0" collapsed="false">
      <c r="B464" s="0" t="str">
        <f aca="false">HYPERLINK("https://genome.ucsc.edu/cgi-bin/hgTracks?db=hg19&amp;position=chr16%3A2141630%2D2141630", "chr16:2141630")</f>
        <v>chr16:2141630</v>
      </c>
      <c r="C464" s="0" t="s">
        <v>271</v>
      </c>
      <c r="D464" s="0" t="n">
        <v>2141630</v>
      </c>
      <c r="E464" s="0" t="n">
        <v>2141630</v>
      </c>
      <c r="F464" s="0" t="s">
        <v>69</v>
      </c>
      <c r="G464" s="0" t="s">
        <v>57</v>
      </c>
      <c r="H464" s="0" t="s">
        <v>1795</v>
      </c>
      <c r="I464" s="0" t="s">
        <v>400</v>
      </c>
      <c r="J464" s="0" t="s">
        <v>2525</v>
      </c>
      <c r="K464" s="0" t="s">
        <v>46</v>
      </c>
      <c r="L464" s="0" t="str">
        <f aca="false">HYPERLINK("https://www.ncbi.nlm.nih.gov/snp/rs371331679", "rs371331679")</f>
        <v>rs371331679</v>
      </c>
      <c r="M464" s="0" t="str">
        <f aca="false">HYPERLINK("https://www.genecards.org/Search/Keyword?queryString=%5Baliases%5D(%20LOC105371049%20)%20OR%20%5Baliases%5D(%20PKD1%20)&amp;keywords=LOC105371049,PKD1", "LOC105371049;PKD1")</f>
        <v>LOC105371049;PKD1</v>
      </c>
      <c r="N464" s="0" t="s">
        <v>2213</v>
      </c>
      <c r="O464" s="0" t="s">
        <v>46</v>
      </c>
      <c r="P464" s="0" t="s">
        <v>46</v>
      </c>
      <c r="Q464" s="0" t="n">
        <v>0.0058</v>
      </c>
      <c r="R464" s="0" t="n">
        <v>0.0073</v>
      </c>
      <c r="S464" s="0" t="n">
        <v>0.006</v>
      </c>
      <c r="T464" s="0" t="n">
        <v>-1</v>
      </c>
      <c r="U464" s="0" t="n">
        <v>0.0109</v>
      </c>
      <c r="V464" s="0" t="s">
        <v>46</v>
      </c>
      <c r="W464" s="0" t="s">
        <v>46</v>
      </c>
      <c r="X464" s="0" t="s">
        <v>63</v>
      </c>
      <c r="Y464" s="0" t="s">
        <v>64</v>
      </c>
      <c r="Z464" s="0" t="s">
        <v>46</v>
      </c>
      <c r="AA464" s="0" t="s">
        <v>46</v>
      </c>
      <c r="AB464" s="0" t="s">
        <v>46</v>
      </c>
      <c r="AC464" s="0" t="s">
        <v>51</v>
      </c>
      <c r="AD464" s="0" t="s">
        <v>437</v>
      </c>
      <c r="AE464" s="0" t="s">
        <v>2526</v>
      </c>
      <c r="AF464" s="0" t="s">
        <v>2527</v>
      </c>
      <c r="AG464" s="0" t="s">
        <v>2528</v>
      </c>
      <c r="AH464" s="0" t="s">
        <v>2529</v>
      </c>
      <c r="AI464" s="0" t="s">
        <v>46</v>
      </c>
      <c r="AJ464" s="0" t="s">
        <v>46</v>
      </c>
      <c r="AK464" s="0" t="s">
        <v>46</v>
      </c>
      <c r="AL464" s="0" t="s">
        <v>46</v>
      </c>
    </row>
    <row r="465" customFormat="false" ht="15" hidden="false" customHeight="false" outlineLevel="0" collapsed="false">
      <c r="B465" s="0" t="str">
        <f aca="false">HYPERLINK("https://genome.ucsc.edu/cgi-bin/hgTracks?db=hg19&amp;position=chr16%3A3807177%2D3807177", "chr16:3807177")</f>
        <v>chr16:3807177</v>
      </c>
      <c r="C465" s="0" t="s">
        <v>271</v>
      </c>
      <c r="D465" s="0" t="n">
        <v>3807177</v>
      </c>
      <c r="E465" s="0" t="n">
        <v>3807177</v>
      </c>
      <c r="F465" s="0" t="s">
        <v>57</v>
      </c>
      <c r="G465" s="0" t="s">
        <v>39</v>
      </c>
      <c r="H465" s="0" t="s">
        <v>2530</v>
      </c>
      <c r="I465" s="0" t="s">
        <v>547</v>
      </c>
      <c r="J465" s="0" t="s">
        <v>1868</v>
      </c>
      <c r="K465" s="0" t="s">
        <v>46</v>
      </c>
      <c r="L465" s="0" t="s">
        <v>46</v>
      </c>
      <c r="M465" s="0" t="str">
        <f aca="false">HYPERLINK("https://www.genecards.org/Search/Keyword?queryString=%5Baliases%5D(%20CREBBP%20)&amp;keywords=CREBBP", "CREBBP")</f>
        <v>CREBBP</v>
      </c>
      <c r="N465" s="0" t="s">
        <v>62</v>
      </c>
      <c r="O465" s="0" t="s">
        <v>46</v>
      </c>
      <c r="P465" s="0" t="s">
        <v>46</v>
      </c>
      <c r="Q465" s="0" t="n">
        <v>-1</v>
      </c>
      <c r="R465" s="0" t="n">
        <v>-1</v>
      </c>
      <c r="S465" s="0" t="n">
        <v>-1</v>
      </c>
      <c r="T465" s="0" t="n">
        <v>-1</v>
      </c>
      <c r="U465" s="0" t="n">
        <v>-1</v>
      </c>
      <c r="V465" s="0" t="s">
        <v>46</v>
      </c>
      <c r="W465" s="0" t="s">
        <v>46</v>
      </c>
      <c r="X465" s="0" t="s">
        <v>2255</v>
      </c>
      <c r="Y465" s="0" t="s">
        <v>64</v>
      </c>
      <c r="Z465" s="0" t="s">
        <v>46</v>
      </c>
      <c r="AA465" s="0" t="s">
        <v>46</v>
      </c>
      <c r="AB465" s="0" t="s">
        <v>46</v>
      </c>
      <c r="AC465" s="0" t="s">
        <v>51</v>
      </c>
      <c r="AD465" s="0" t="s">
        <v>52</v>
      </c>
      <c r="AE465" s="0" t="s">
        <v>2531</v>
      </c>
      <c r="AF465" s="0" t="s">
        <v>2532</v>
      </c>
      <c r="AG465" s="0" t="s">
        <v>2533</v>
      </c>
      <c r="AH465" s="0" t="s">
        <v>2534</v>
      </c>
      <c r="AI465" s="0" t="s">
        <v>46</v>
      </c>
      <c r="AJ465" s="0" t="s">
        <v>46</v>
      </c>
      <c r="AK465" s="0" t="s">
        <v>46</v>
      </c>
      <c r="AL465" s="0" t="s">
        <v>46</v>
      </c>
    </row>
    <row r="466" customFormat="false" ht="15" hidden="false" customHeight="false" outlineLevel="0" collapsed="false">
      <c r="B466" s="0" t="str">
        <f aca="false">HYPERLINK("https://genome.ucsc.edu/cgi-bin/hgTracks?db=hg19&amp;position=chr16%3A50763881%2D50763881", "chr16:50763881")</f>
        <v>chr16:50763881</v>
      </c>
      <c r="C466" s="0" t="s">
        <v>271</v>
      </c>
      <c r="D466" s="0" t="n">
        <v>50763881</v>
      </c>
      <c r="E466" s="0" t="n">
        <v>50763881</v>
      </c>
      <c r="F466" s="0" t="s">
        <v>39</v>
      </c>
      <c r="G466" s="0" t="s">
        <v>40</v>
      </c>
      <c r="H466" s="0" t="s">
        <v>2464</v>
      </c>
      <c r="I466" s="0" t="s">
        <v>1103</v>
      </c>
      <c r="J466" s="0" t="s">
        <v>2535</v>
      </c>
      <c r="K466" s="0" t="s">
        <v>46</v>
      </c>
      <c r="L466" s="0" t="str">
        <f aca="false">HYPERLINK("https://www.ncbi.nlm.nih.gov/snp/rs5743294", "rs5743294")</f>
        <v>rs5743294</v>
      </c>
      <c r="M466" s="0" t="str">
        <f aca="false">HYPERLINK("https://www.genecards.org/Search/Keyword?queryString=%5Baliases%5D(%20NOD2%20)&amp;keywords=NOD2", "NOD2")</f>
        <v>NOD2</v>
      </c>
      <c r="N466" s="0" t="s">
        <v>2213</v>
      </c>
      <c r="O466" s="0" t="s">
        <v>46</v>
      </c>
      <c r="P466" s="0" t="s">
        <v>46</v>
      </c>
      <c r="Q466" s="0" t="n">
        <v>0.0135</v>
      </c>
      <c r="R466" s="0" t="n">
        <v>0.0052</v>
      </c>
      <c r="S466" s="0" t="n">
        <v>0.0037</v>
      </c>
      <c r="T466" s="0" t="n">
        <v>-1</v>
      </c>
      <c r="U466" s="0" t="n">
        <v>0.0087</v>
      </c>
      <c r="V466" s="0" t="s">
        <v>46</v>
      </c>
      <c r="W466" s="0" t="s">
        <v>46</v>
      </c>
      <c r="X466" s="0" t="s">
        <v>63</v>
      </c>
      <c r="Y466" s="0" t="s">
        <v>64</v>
      </c>
      <c r="Z466" s="0" t="s">
        <v>46</v>
      </c>
      <c r="AA466" s="0" t="s">
        <v>46</v>
      </c>
      <c r="AB466" s="0" t="s">
        <v>46</v>
      </c>
      <c r="AC466" s="0" t="s">
        <v>51</v>
      </c>
      <c r="AD466" s="0" t="s">
        <v>52</v>
      </c>
      <c r="AE466" s="0" t="s">
        <v>2536</v>
      </c>
      <c r="AF466" s="0" t="s">
        <v>2537</v>
      </c>
      <c r="AG466" s="0" t="s">
        <v>2538</v>
      </c>
      <c r="AH466" s="0" t="s">
        <v>2539</v>
      </c>
      <c r="AI466" s="0" t="s">
        <v>46</v>
      </c>
      <c r="AJ466" s="0" t="s">
        <v>46</v>
      </c>
      <c r="AK466" s="0" t="s">
        <v>46</v>
      </c>
      <c r="AL466" s="0" t="s">
        <v>46</v>
      </c>
    </row>
    <row r="467" customFormat="false" ht="15" hidden="false" customHeight="false" outlineLevel="0" collapsed="false">
      <c r="B467" s="0" t="str">
        <f aca="false">HYPERLINK("https://genome.ucsc.edu/cgi-bin/hgTracks?db=hg19&amp;position=chr16%3A68678639%2D68678640", "chr16:68678639")</f>
        <v>chr16:68678639</v>
      </c>
      <c r="C467" s="0" t="s">
        <v>271</v>
      </c>
      <c r="D467" s="0" t="n">
        <v>68678639</v>
      </c>
      <c r="E467" s="0" t="n">
        <v>68678640</v>
      </c>
      <c r="F467" s="0" t="s">
        <v>201</v>
      </c>
      <c r="G467" s="0" t="s">
        <v>200</v>
      </c>
      <c r="H467" s="0" t="s">
        <v>2540</v>
      </c>
      <c r="I467" s="0" t="s">
        <v>1072</v>
      </c>
      <c r="J467" s="0" t="s">
        <v>2541</v>
      </c>
      <c r="K467" s="0" t="s">
        <v>46</v>
      </c>
      <c r="L467" s="0" t="s">
        <v>46</v>
      </c>
      <c r="M467" s="0" t="str">
        <f aca="false">HYPERLINK("https://www.genecards.org/Search/Keyword?queryString=%5Baliases%5D(%20CDH3%20)&amp;keywords=CDH3", "CDH3")</f>
        <v>CDH3</v>
      </c>
      <c r="N467" s="0" t="s">
        <v>2542</v>
      </c>
      <c r="O467" s="0" t="s">
        <v>46</v>
      </c>
      <c r="P467" s="0" t="s">
        <v>2543</v>
      </c>
      <c r="Q467" s="0" t="n">
        <v>0.0075</v>
      </c>
      <c r="R467" s="0" t="n">
        <v>0.0032</v>
      </c>
      <c r="S467" s="0" t="n">
        <v>0.0013</v>
      </c>
      <c r="T467" s="0" t="n">
        <v>-1</v>
      </c>
      <c r="U467" s="0" t="n">
        <v>0.0018</v>
      </c>
      <c r="V467" s="0" t="s">
        <v>46</v>
      </c>
      <c r="W467" s="0" t="s">
        <v>46</v>
      </c>
      <c r="X467" s="0" t="s">
        <v>46</v>
      </c>
      <c r="Y467" s="0" t="s">
        <v>46</v>
      </c>
      <c r="Z467" s="0" t="s">
        <v>46</v>
      </c>
      <c r="AA467" s="0" t="s">
        <v>46</v>
      </c>
      <c r="AB467" s="0" t="s">
        <v>46</v>
      </c>
      <c r="AC467" s="0" t="s">
        <v>51</v>
      </c>
      <c r="AD467" s="0" t="s">
        <v>52</v>
      </c>
      <c r="AE467" s="0" t="s">
        <v>2544</v>
      </c>
      <c r="AF467" s="0" t="s">
        <v>2545</v>
      </c>
      <c r="AG467" s="0" t="s">
        <v>2546</v>
      </c>
      <c r="AH467" s="0" t="s">
        <v>2547</v>
      </c>
      <c r="AI467" s="0" t="s">
        <v>46</v>
      </c>
      <c r="AJ467" s="0" t="s">
        <v>46</v>
      </c>
      <c r="AK467" s="0" t="s">
        <v>46</v>
      </c>
      <c r="AL467" s="0" t="s">
        <v>46</v>
      </c>
    </row>
    <row r="468" customFormat="false" ht="15" hidden="false" customHeight="false" outlineLevel="0" collapsed="false">
      <c r="B468" s="0" t="str">
        <f aca="false">HYPERLINK("https://genome.ucsc.edu/cgi-bin/hgTracks?db=hg19&amp;position=chr16%3A70896016%2D70896016", "chr16:70896016")</f>
        <v>chr16:70896016</v>
      </c>
      <c r="C468" s="0" t="s">
        <v>271</v>
      </c>
      <c r="D468" s="0" t="n">
        <v>70896016</v>
      </c>
      <c r="E468" s="0" t="n">
        <v>70896016</v>
      </c>
      <c r="F468" s="0" t="s">
        <v>57</v>
      </c>
      <c r="G468" s="0" t="s">
        <v>200</v>
      </c>
      <c r="H468" s="0" t="s">
        <v>2548</v>
      </c>
      <c r="I468" s="0" t="s">
        <v>2549</v>
      </c>
      <c r="J468" s="0" t="s">
        <v>2550</v>
      </c>
      <c r="K468" s="0" t="s">
        <v>46</v>
      </c>
      <c r="L468" s="0" t="str">
        <f aca="false">HYPERLINK("https://www.ncbi.nlm.nih.gov/snp/rs11337008", "rs11337008")</f>
        <v>rs11337008</v>
      </c>
      <c r="M468" s="0" t="str">
        <f aca="false">HYPERLINK("https://www.genecards.org/Search/Keyword?queryString=%5Baliases%5D(%20HYDIN%20)&amp;keywords=HYDIN", "HYDIN")</f>
        <v>HYDIN</v>
      </c>
      <c r="N468" s="0" t="s">
        <v>98</v>
      </c>
      <c r="O468" s="0" t="s">
        <v>2265</v>
      </c>
      <c r="P468" s="0" t="s">
        <v>2551</v>
      </c>
      <c r="Q468" s="0" t="n">
        <v>0.0041655</v>
      </c>
      <c r="R468" s="0" t="n">
        <v>-1</v>
      </c>
      <c r="S468" s="0" t="n">
        <v>-1</v>
      </c>
      <c r="T468" s="0" t="n">
        <v>-1</v>
      </c>
      <c r="U468" s="0" t="n">
        <v>-1</v>
      </c>
      <c r="V468" s="0" t="s">
        <v>46</v>
      </c>
      <c r="W468" s="0" t="s">
        <v>46</v>
      </c>
      <c r="X468" s="0" t="s">
        <v>46</v>
      </c>
      <c r="Y468" s="0" t="s">
        <v>46</v>
      </c>
      <c r="Z468" s="0" t="s">
        <v>46</v>
      </c>
      <c r="AA468" s="0" t="s">
        <v>46</v>
      </c>
      <c r="AB468" s="0" t="s">
        <v>46</v>
      </c>
      <c r="AC468" s="0" t="s">
        <v>51</v>
      </c>
      <c r="AD468" s="0" t="s">
        <v>1229</v>
      </c>
      <c r="AE468" s="0" t="s">
        <v>46</v>
      </c>
      <c r="AF468" s="0" t="s">
        <v>1230</v>
      </c>
      <c r="AG468" s="0" t="s">
        <v>1231</v>
      </c>
      <c r="AH468" s="0" t="s">
        <v>1232</v>
      </c>
      <c r="AI468" s="0" t="s">
        <v>46</v>
      </c>
      <c r="AJ468" s="0" t="s">
        <v>46</v>
      </c>
      <c r="AK468" s="0" t="s">
        <v>46</v>
      </c>
      <c r="AL468" s="0" t="s">
        <v>584</v>
      </c>
    </row>
    <row r="469" customFormat="false" ht="15" hidden="false" customHeight="false" outlineLevel="0" collapsed="false">
      <c r="B469" s="0" t="str">
        <f aca="false">HYPERLINK("https://genome.ucsc.edu/cgi-bin/hgTracks?db=hg19&amp;position=chr16%3A71610393%2D71610393", "chr16:71610393")</f>
        <v>chr16:71610393</v>
      </c>
      <c r="C469" s="0" t="s">
        <v>271</v>
      </c>
      <c r="D469" s="0" t="n">
        <v>71610393</v>
      </c>
      <c r="E469" s="0" t="n">
        <v>71610393</v>
      </c>
      <c r="F469" s="0" t="s">
        <v>39</v>
      </c>
      <c r="G469" s="0" t="s">
        <v>57</v>
      </c>
      <c r="H469" s="0" t="s">
        <v>2552</v>
      </c>
      <c r="I469" s="0" t="s">
        <v>1146</v>
      </c>
      <c r="J469" s="0" t="s">
        <v>1147</v>
      </c>
      <c r="K469" s="0" t="s">
        <v>46</v>
      </c>
      <c r="L469" s="0" t="str">
        <f aca="false">HYPERLINK("https://www.ncbi.nlm.nih.gov/snp/rs147974389", "rs147974389")</f>
        <v>rs147974389</v>
      </c>
      <c r="M469" s="0" t="str">
        <f aca="false">HYPERLINK("https://www.genecards.org/Search/Keyword?queryString=%5Baliases%5D(%20TAT%20)&amp;keywords=TAT", "TAT")</f>
        <v>TAT</v>
      </c>
      <c r="N469" s="0" t="s">
        <v>2213</v>
      </c>
      <c r="O469" s="0" t="s">
        <v>46</v>
      </c>
      <c r="P469" s="0" t="s">
        <v>46</v>
      </c>
      <c r="Q469" s="0" t="n">
        <v>0.0269563</v>
      </c>
      <c r="R469" s="0" t="n">
        <v>0.0173</v>
      </c>
      <c r="S469" s="0" t="n">
        <v>0.0217</v>
      </c>
      <c r="T469" s="0" t="n">
        <v>-1</v>
      </c>
      <c r="U469" s="0" t="n">
        <v>0.0244</v>
      </c>
      <c r="V469" s="0" t="s">
        <v>46</v>
      </c>
      <c r="W469" s="0" t="s">
        <v>46</v>
      </c>
      <c r="X469" s="0" t="s">
        <v>63</v>
      </c>
      <c r="Y469" s="0" t="s">
        <v>64</v>
      </c>
      <c r="Z469" s="0" t="s">
        <v>46</v>
      </c>
      <c r="AA469" s="0" t="s">
        <v>46</v>
      </c>
      <c r="AB469" s="0" t="s">
        <v>46</v>
      </c>
      <c r="AC469" s="0" t="s">
        <v>51</v>
      </c>
      <c r="AD469" s="0" t="s">
        <v>52</v>
      </c>
      <c r="AE469" s="0" t="s">
        <v>2553</v>
      </c>
      <c r="AF469" s="0" t="s">
        <v>2554</v>
      </c>
      <c r="AG469" s="0" t="s">
        <v>2555</v>
      </c>
      <c r="AH469" s="0" t="s">
        <v>2556</v>
      </c>
      <c r="AI469" s="0" t="s">
        <v>46</v>
      </c>
      <c r="AJ469" s="0" t="s">
        <v>46</v>
      </c>
      <c r="AK469" s="0" t="s">
        <v>46</v>
      </c>
      <c r="AL469" s="0" t="s">
        <v>46</v>
      </c>
    </row>
    <row r="470" customFormat="false" ht="15" hidden="false" customHeight="false" outlineLevel="0" collapsed="false">
      <c r="B470" s="0" t="str">
        <f aca="false">HYPERLINK("https://genome.ucsc.edu/cgi-bin/hgTracks?db=hg19&amp;position=chr16%3A81892043%2D81892047", "chr16:81892043")</f>
        <v>chr16:81892043</v>
      </c>
      <c r="C470" s="0" t="s">
        <v>271</v>
      </c>
      <c r="D470" s="0" t="n">
        <v>81892043</v>
      </c>
      <c r="E470" s="0" t="n">
        <v>81892047</v>
      </c>
      <c r="F470" s="0" t="s">
        <v>2557</v>
      </c>
      <c r="G470" s="0" t="s">
        <v>2558</v>
      </c>
      <c r="H470" s="0" t="s">
        <v>2559</v>
      </c>
      <c r="I470" s="0" t="s">
        <v>618</v>
      </c>
      <c r="J470" s="0" t="s">
        <v>2560</v>
      </c>
      <c r="K470" s="0" t="s">
        <v>46</v>
      </c>
      <c r="L470" s="0" t="s">
        <v>46</v>
      </c>
      <c r="M470" s="0" t="str">
        <f aca="false">HYPERLINK("https://www.genecards.org/Search/Keyword?queryString=%5Baliases%5D(%20PLCG2%20)&amp;keywords=PLCG2", "PLCG2")</f>
        <v>PLCG2</v>
      </c>
      <c r="N470" s="0" t="s">
        <v>2213</v>
      </c>
      <c r="O470" s="0" t="s">
        <v>46</v>
      </c>
      <c r="P470" s="0" t="s">
        <v>46</v>
      </c>
      <c r="Q470" s="0" t="n">
        <v>-1</v>
      </c>
      <c r="R470" s="0" t="n">
        <v>-1</v>
      </c>
      <c r="S470" s="0" t="n">
        <v>-1</v>
      </c>
      <c r="T470" s="0" t="n">
        <v>-1</v>
      </c>
      <c r="U470" s="0" t="n">
        <v>-1</v>
      </c>
      <c r="V470" s="0" t="s">
        <v>46</v>
      </c>
      <c r="W470" s="0" t="s">
        <v>46</v>
      </c>
      <c r="X470" s="0" t="s">
        <v>46</v>
      </c>
      <c r="Y470" s="0" t="s">
        <v>46</v>
      </c>
      <c r="Z470" s="0" t="s">
        <v>46</v>
      </c>
      <c r="AA470" s="0" t="s">
        <v>46</v>
      </c>
      <c r="AB470" s="0" t="s">
        <v>46</v>
      </c>
      <c r="AC470" s="0" t="s">
        <v>207</v>
      </c>
      <c r="AD470" s="0" t="s">
        <v>52</v>
      </c>
      <c r="AE470" s="0" t="s">
        <v>2561</v>
      </c>
      <c r="AF470" s="0" t="s">
        <v>2562</v>
      </c>
      <c r="AG470" s="0" t="s">
        <v>2563</v>
      </c>
      <c r="AH470" s="0" t="s">
        <v>2564</v>
      </c>
      <c r="AI470" s="0" t="s">
        <v>46</v>
      </c>
      <c r="AJ470" s="0" t="s">
        <v>46</v>
      </c>
      <c r="AK470" s="0" t="s">
        <v>46</v>
      </c>
      <c r="AL470" s="0" t="s">
        <v>46</v>
      </c>
    </row>
    <row r="471" customFormat="false" ht="15" hidden="false" customHeight="false" outlineLevel="0" collapsed="false">
      <c r="B471" s="0" t="str">
        <f aca="false">HYPERLINK("https://genome.ucsc.edu/cgi-bin/hgTracks?db=hg19&amp;position=chr16%3A89651818%2D89651818", "chr16:89651818")</f>
        <v>chr16:89651818</v>
      </c>
      <c r="C471" s="0" t="s">
        <v>271</v>
      </c>
      <c r="D471" s="0" t="n">
        <v>89651818</v>
      </c>
      <c r="E471" s="0" t="n">
        <v>89651818</v>
      </c>
      <c r="F471" s="0" t="s">
        <v>39</v>
      </c>
      <c r="G471" s="0" t="s">
        <v>69</v>
      </c>
      <c r="H471" s="0" t="s">
        <v>2565</v>
      </c>
      <c r="I471" s="0" t="s">
        <v>842</v>
      </c>
      <c r="J471" s="0" t="s">
        <v>2566</v>
      </c>
      <c r="K471" s="0" t="s">
        <v>46</v>
      </c>
      <c r="L471" s="0" t="str">
        <f aca="false">HYPERLINK("https://www.ncbi.nlm.nih.gov/snp/rs2377061", "rs2377061")</f>
        <v>rs2377061</v>
      </c>
      <c r="M471" s="0" t="str">
        <f aca="false">HYPERLINK("https://www.genecards.org/Search/Keyword?queryString=%5Baliases%5D(%20CPNE7%20)&amp;keywords=CPNE7", "CPNE7")</f>
        <v>CPNE7</v>
      </c>
      <c r="N471" s="0" t="s">
        <v>62</v>
      </c>
      <c r="O471" s="0" t="s">
        <v>46</v>
      </c>
      <c r="P471" s="0" t="s">
        <v>46</v>
      </c>
      <c r="Q471" s="0" t="n">
        <v>0.0197</v>
      </c>
      <c r="R471" s="0" t="n">
        <v>0.0153</v>
      </c>
      <c r="S471" s="0" t="n">
        <v>0.0141</v>
      </c>
      <c r="T471" s="0" t="n">
        <v>-1</v>
      </c>
      <c r="U471" s="0" t="n">
        <v>0.0169</v>
      </c>
      <c r="V471" s="0" t="s">
        <v>46</v>
      </c>
      <c r="W471" s="0" t="s">
        <v>46</v>
      </c>
      <c r="X471" s="0" t="s">
        <v>2255</v>
      </c>
      <c r="Y471" s="0" t="s">
        <v>64</v>
      </c>
      <c r="Z471" s="0" t="s">
        <v>46</v>
      </c>
      <c r="AA471" s="0" t="s">
        <v>46</v>
      </c>
      <c r="AB471" s="0" t="s">
        <v>46</v>
      </c>
      <c r="AC471" s="0" t="s">
        <v>1190</v>
      </c>
      <c r="AD471" s="0" t="s">
        <v>52</v>
      </c>
      <c r="AE471" s="0" t="s">
        <v>2567</v>
      </c>
      <c r="AF471" s="0" t="s">
        <v>2568</v>
      </c>
      <c r="AG471" s="0" t="s">
        <v>2569</v>
      </c>
      <c r="AH471" s="0" t="s">
        <v>46</v>
      </c>
      <c r="AI471" s="0" t="s">
        <v>46</v>
      </c>
      <c r="AJ471" s="0" t="s">
        <v>46</v>
      </c>
      <c r="AK471" s="0" t="s">
        <v>46</v>
      </c>
      <c r="AL471" s="0" t="s">
        <v>46</v>
      </c>
    </row>
    <row r="472" customFormat="false" ht="15" hidden="false" customHeight="false" outlineLevel="0" collapsed="false">
      <c r="B472" s="0" t="str">
        <f aca="false">HYPERLINK("https://genome.ucsc.edu/cgi-bin/hgTracks?db=hg19&amp;position=chr17%3A1382702%2D1382702", "chr17:1382702")</f>
        <v>chr17:1382702</v>
      </c>
      <c r="C472" s="0" t="s">
        <v>279</v>
      </c>
      <c r="D472" s="0" t="n">
        <v>1382702</v>
      </c>
      <c r="E472" s="0" t="n">
        <v>1382702</v>
      </c>
      <c r="F472" s="0" t="s">
        <v>39</v>
      </c>
      <c r="G472" s="0" t="s">
        <v>40</v>
      </c>
      <c r="H472" s="0" t="s">
        <v>978</v>
      </c>
      <c r="I472" s="0" t="s">
        <v>527</v>
      </c>
      <c r="J472" s="0" t="s">
        <v>1153</v>
      </c>
      <c r="K472" s="0" t="s">
        <v>46</v>
      </c>
      <c r="L472" s="0" t="str">
        <f aca="false">HYPERLINK("https://www.ncbi.nlm.nih.gov/snp/rs78481682", "rs78481682")</f>
        <v>rs78481682</v>
      </c>
      <c r="M472" s="0" t="str">
        <f aca="false">HYPERLINK("https://www.genecards.org/Search/Keyword?queryString=%5Baliases%5D(%20MYO1C%20)&amp;keywords=MYO1C", "MYO1C")</f>
        <v>MYO1C</v>
      </c>
      <c r="N472" s="0" t="s">
        <v>62</v>
      </c>
      <c r="O472" s="0" t="s">
        <v>46</v>
      </c>
      <c r="P472" s="0" t="s">
        <v>46</v>
      </c>
      <c r="Q472" s="0" t="n">
        <v>0.0288</v>
      </c>
      <c r="R472" s="0" t="n">
        <v>0.0292</v>
      </c>
      <c r="S472" s="0" t="n">
        <v>0.0284</v>
      </c>
      <c r="T472" s="0" t="n">
        <v>-1</v>
      </c>
      <c r="U472" s="0" t="n">
        <v>0.0296</v>
      </c>
      <c r="V472" s="0" t="s">
        <v>46</v>
      </c>
      <c r="W472" s="0" t="s">
        <v>46</v>
      </c>
      <c r="X472" s="0" t="s">
        <v>2255</v>
      </c>
      <c r="Y472" s="0" t="s">
        <v>64</v>
      </c>
      <c r="Z472" s="0" t="s">
        <v>46</v>
      </c>
      <c r="AA472" s="0" t="s">
        <v>46</v>
      </c>
      <c r="AB472" s="0" t="s">
        <v>46</v>
      </c>
      <c r="AC472" s="0" t="s">
        <v>51</v>
      </c>
      <c r="AD472" s="0" t="s">
        <v>52</v>
      </c>
      <c r="AE472" s="0" t="s">
        <v>2570</v>
      </c>
      <c r="AF472" s="0" t="s">
        <v>2571</v>
      </c>
      <c r="AG472" s="0" t="s">
        <v>2572</v>
      </c>
      <c r="AH472" s="0" t="s">
        <v>46</v>
      </c>
      <c r="AI472" s="0" t="s">
        <v>46</v>
      </c>
      <c r="AJ472" s="0" t="s">
        <v>46</v>
      </c>
      <c r="AK472" s="0" t="s">
        <v>46</v>
      </c>
      <c r="AL472" s="0" t="s">
        <v>46</v>
      </c>
    </row>
    <row r="473" customFormat="false" ht="15" hidden="false" customHeight="false" outlineLevel="0" collapsed="false">
      <c r="B473" s="0" t="str">
        <f aca="false">HYPERLINK("https://genome.ucsc.edu/cgi-bin/hgTracks?db=hg19&amp;position=chr17%3A1548463%2D1548463", "chr17:1548463")</f>
        <v>chr17:1548463</v>
      </c>
      <c r="C473" s="0" t="s">
        <v>279</v>
      </c>
      <c r="D473" s="0" t="n">
        <v>1548463</v>
      </c>
      <c r="E473" s="0" t="n">
        <v>1548463</v>
      </c>
      <c r="F473" s="0" t="s">
        <v>69</v>
      </c>
      <c r="G473" s="0" t="s">
        <v>39</v>
      </c>
      <c r="H473" s="0" t="s">
        <v>2573</v>
      </c>
      <c r="I473" s="0" t="s">
        <v>486</v>
      </c>
      <c r="J473" s="0" t="s">
        <v>2574</v>
      </c>
      <c r="K473" s="0" t="s">
        <v>46</v>
      </c>
      <c r="L473" s="0" t="str">
        <f aca="false">HYPERLINK("https://www.ncbi.nlm.nih.gov/snp/rs199800870", "rs199800870")</f>
        <v>rs199800870</v>
      </c>
      <c r="M473" s="0" t="str">
        <f aca="false">HYPERLINK("https://www.genecards.org/Search/Keyword?queryString=%5Baliases%5D(%20SCARF1%20)&amp;keywords=SCARF1", "SCARF1")</f>
        <v>SCARF1</v>
      </c>
      <c r="N473" s="0" t="s">
        <v>62</v>
      </c>
      <c r="O473" s="0" t="s">
        <v>46</v>
      </c>
      <c r="P473" s="0" t="s">
        <v>46</v>
      </c>
      <c r="Q473" s="0" t="n">
        <v>0.0141</v>
      </c>
      <c r="R473" s="0" t="n">
        <v>0.0021</v>
      </c>
      <c r="S473" s="0" t="n">
        <v>0.0015</v>
      </c>
      <c r="T473" s="0" t="n">
        <v>-1</v>
      </c>
      <c r="U473" s="0" t="n">
        <v>0.0034</v>
      </c>
      <c r="V473" s="0" t="s">
        <v>46</v>
      </c>
      <c r="W473" s="0" t="s">
        <v>46</v>
      </c>
      <c r="X473" s="0" t="s">
        <v>999</v>
      </c>
      <c r="Y473" s="0" t="s">
        <v>64</v>
      </c>
      <c r="Z473" s="0" t="s">
        <v>46</v>
      </c>
      <c r="AA473" s="0" t="s">
        <v>46</v>
      </c>
      <c r="AB473" s="0" t="s">
        <v>46</v>
      </c>
      <c r="AC473" s="0" t="s">
        <v>51</v>
      </c>
      <c r="AD473" s="0" t="s">
        <v>52</v>
      </c>
      <c r="AE473" s="0" t="s">
        <v>2575</v>
      </c>
      <c r="AF473" s="0" t="s">
        <v>2576</v>
      </c>
      <c r="AG473" s="0" t="s">
        <v>2577</v>
      </c>
      <c r="AH473" s="0" t="s">
        <v>46</v>
      </c>
      <c r="AI473" s="0" t="s">
        <v>46</v>
      </c>
      <c r="AJ473" s="0" t="s">
        <v>46</v>
      </c>
      <c r="AK473" s="0" t="s">
        <v>46</v>
      </c>
      <c r="AL473" s="0" t="s">
        <v>46</v>
      </c>
    </row>
    <row r="474" customFormat="false" ht="15" hidden="false" customHeight="false" outlineLevel="0" collapsed="false">
      <c r="B474" s="0" t="str">
        <f aca="false">HYPERLINK("https://genome.ucsc.edu/cgi-bin/hgTracks?db=hg19&amp;position=chr17%3A4381933%2D4381933", "chr17:4381933")</f>
        <v>chr17:4381933</v>
      </c>
      <c r="C474" s="0" t="s">
        <v>279</v>
      </c>
      <c r="D474" s="0" t="n">
        <v>4381933</v>
      </c>
      <c r="E474" s="0" t="n">
        <v>4381933</v>
      </c>
      <c r="F474" s="0" t="s">
        <v>69</v>
      </c>
      <c r="G474" s="0" t="s">
        <v>39</v>
      </c>
      <c r="H474" s="0" t="s">
        <v>2578</v>
      </c>
      <c r="I474" s="0" t="s">
        <v>694</v>
      </c>
      <c r="J474" s="0" t="s">
        <v>2579</v>
      </c>
      <c r="K474" s="0" t="s">
        <v>46</v>
      </c>
      <c r="L474" s="0" t="str">
        <f aca="false">HYPERLINK("https://www.ncbi.nlm.nih.gov/snp/rs767822900", "rs767822900")</f>
        <v>rs767822900</v>
      </c>
      <c r="M474" s="0" t="str">
        <f aca="false">HYPERLINK("https://www.genecards.org/Search/Keyword?queryString=%5Baliases%5D(%20SPNS3%20)&amp;keywords=SPNS3", "SPNS3")</f>
        <v>SPNS3</v>
      </c>
      <c r="N474" s="0" t="s">
        <v>205</v>
      </c>
      <c r="O474" s="0" t="s">
        <v>46</v>
      </c>
      <c r="P474" s="0" t="s">
        <v>2580</v>
      </c>
      <c r="Q474" s="0" t="n">
        <v>0.0006</v>
      </c>
      <c r="R474" s="0" t="n">
        <v>-1</v>
      </c>
      <c r="S474" s="0" t="n">
        <v>-1</v>
      </c>
      <c r="T474" s="0" t="n">
        <v>-1</v>
      </c>
      <c r="U474" s="0" t="n">
        <v>-1</v>
      </c>
      <c r="V474" s="0" t="s">
        <v>827</v>
      </c>
      <c r="W474" s="0" t="s">
        <v>999</v>
      </c>
      <c r="X474" s="0" t="s">
        <v>999</v>
      </c>
      <c r="Y474" s="0" t="s">
        <v>2214</v>
      </c>
      <c r="Z474" s="0" t="s">
        <v>183</v>
      </c>
      <c r="AA474" s="0" t="s">
        <v>46</v>
      </c>
      <c r="AB474" s="0" t="s">
        <v>46</v>
      </c>
      <c r="AC474" s="0" t="s">
        <v>51</v>
      </c>
      <c r="AD474" s="0" t="s">
        <v>52</v>
      </c>
      <c r="AE474" s="0" t="s">
        <v>2581</v>
      </c>
      <c r="AF474" s="0" t="s">
        <v>2582</v>
      </c>
      <c r="AG474" s="0" t="s">
        <v>2583</v>
      </c>
      <c r="AH474" s="0" t="s">
        <v>46</v>
      </c>
      <c r="AI474" s="0" t="s">
        <v>46</v>
      </c>
      <c r="AJ474" s="0" t="s">
        <v>46</v>
      </c>
      <c r="AK474" s="0" t="s">
        <v>46</v>
      </c>
      <c r="AL474" s="0" t="s">
        <v>46</v>
      </c>
    </row>
    <row r="475" customFormat="false" ht="15" hidden="false" customHeight="false" outlineLevel="0" collapsed="false">
      <c r="B475" s="0" t="str">
        <f aca="false">HYPERLINK("https://genome.ucsc.edu/cgi-bin/hgTracks?db=hg19&amp;position=chr17%3A7945903%2D7945903", "chr17:7945903")</f>
        <v>chr17:7945903</v>
      </c>
      <c r="C475" s="0" t="s">
        <v>279</v>
      </c>
      <c r="D475" s="0" t="n">
        <v>7945903</v>
      </c>
      <c r="E475" s="0" t="n">
        <v>7945903</v>
      </c>
      <c r="F475" s="0" t="s">
        <v>57</v>
      </c>
      <c r="G475" s="0" t="s">
        <v>69</v>
      </c>
      <c r="H475" s="0" t="s">
        <v>2584</v>
      </c>
      <c r="I475" s="0" t="s">
        <v>281</v>
      </c>
      <c r="J475" s="0" t="s">
        <v>2585</v>
      </c>
      <c r="K475" s="0" t="s">
        <v>46</v>
      </c>
      <c r="L475" s="0" t="str">
        <f aca="false">HYPERLINK("https://www.ncbi.nlm.nih.gov/snp/rs77817723", "rs77817723")</f>
        <v>rs77817723</v>
      </c>
      <c r="M475" s="0" t="str">
        <f aca="false">HYPERLINK("https://www.genecards.org/Search/Keyword?queryString=%5Baliases%5D(%20ALOX15B%20)&amp;keywords=ALOX15B", "ALOX15B")</f>
        <v>ALOX15B</v>
      </c>
      <c r="N475" s="0" t="s">
        <v>45</v>
      </c>
      <c r="O475" s="0" t="s">
        <v>46</v>
      </c>
      <c r="P475" s="0" t="s">
        <v>2586</v>
      </c>
      <c r="Q475" s="0" t="n">
        <v>0.00821858</v>
      </c>
      <c r="R475" s="0" t="n">
        <v>0.0073</v>
      </c>
      <c r="S475" s="0" t="n">
        <v>0.0082</v>
      </c>
      <c r="T475" s="0" t="n">
        <v>-1</v>
      </c>
      <c r="U475" s="0" t="n">
        <v>0.0062</v>
      </c>
      <c r="V475" s="0" t="s">
        <v>46</v>
      </c>
      <c r="W475" s="0" t="s">
        <v>46</v>
      </c>
      <c r="X475" s="0" t="s">
        <v>999</v>
      </c>
      <c r="Y475" s="0" t="s">
        <v>64</v>
      </c>
      <c r="Z475" s="0" t="s">
        <v>46</v>
      </c>
      <c r="AA475" s="0" t="s">
        <v>46</v>
      </c>
      <c r="AB475" s="0" t="s">
        <v>46</v>
      </c>
      <c r="AC475" s="0" t="s">
        <v>51</v>
      </c>
      <c r="AD475" s="0" t="s">
        <v>52</v>
      </c>
      <c r="AE475" s="0" t="s">
        <v>2587</v>
      </c>
      <c r="AF475" s="0" t="s">
        <v>2588</v>
      </c>
      <c r="AG475" s="0" t="s">
        <v>2589</v>
      </c>
      <c r="AH475" s="0" t="s">
        <v>46</v>
      </c>
      <c r="AI475" s="0" t="s">
        <v>46</v>
      </c>
      <c r="AJ475" s="0" t="s">
        <v>46</v>
      </c>
      <c r="AK475" s="0" t="s">
        <v>46</v>
      </c>
      <c r="AL475" s="0" t="s">
        <v>46</v>
      </c>
    </row>
    <row r="476" customFormat="false" ht="15" hidden="false" customHeight="false" outlineLevel="0" collapsed="false">
      <c r="B476" s="0" t="str">
        <f aca="false">HYPERLINK("https://genome.ucsc.edu/cgi-bin/hgTracks?db=hg19&amp;position=chr17%3A8793575%2D8793575", "chr17:8793575")</f>
        <v>chr17:8793575</v>
      </c>
      <c r="C476" s="0" t="s">
        <v>279</v>
      </c>
      <c r="D476" s="0" t="n">
        <v>8793575</v>
      </c>
      <c r="E476" s="0" t="n">
        <v>8793575</v>
      </c>
      <c r="F476" s="0" t="s">
        <v>57</v>
      </c>
      <c r="G476" s="0" t="s">
        <v>40</v>
      </c>
      <c r="H476" s="0" t="s">
        <v>2447</v>
      </c>
      <c r="I476" s="0" t="s">
        <v>178</v>
      </c>
      <c r="J476" s="0" t="s">
        <v>442</v>
      </c>
      <c r="K476" s="0" t="s">
        <v>46</v>
      </c>
      <c r="L476" s="0" t="str">
        <f aca="false">HYPERLINK("https://www.ncbi.nlm.nih.gov/snp/rs61759654", "rs61759654")</f>
        <v>rs61759654</v>
      </c>
      <c r="M476" s="0" t="str">
        <f aca="false">HYPERLINK("https://www.genecards.org/Search/Keyword?queryString=%5Baliases%5D(%20PIK3R5%20)&amp;keywords=PIK3R5", "PIK3R5")</f>
        <v>PIK3R5</v>
      </c>
      <c r="N476" s="0" t="s">
        <v>62</v>
      </c>
      <c r="O476" s="0" t="s">
        <v>46</v>
      </c>
      <c r="P476" s="0" t="s">
        <v>46</v>
      </c>
      <c r="Q476" s="0" t="n">
        <v>0.001</v>
      </c>
      <c r="R476" s="0" t="n">
        <v>-1</v>
      </c>
      <c r="S476" s="0" t="n">
        <v>-1</v>
      </c>
      <c r="T476" s="0" t="n">
        <v>-1</v>
      </c>
      <c r="U476" s="0" t="n">
        <v>-1</v>
      </c>
      <c r="V476" s="0" t="s">
        <v>46</v>
      </c>
      <c r="W476" s="0" t="s">
        <v>46</v>
      </c>
      <c r="X476" s="0" t="s">
        <v>2255</v>
      </c>
      <c r="Y476" s="0" t="s">
        <v>64</v>
      </c>
      <c r="Z476" s="0" t="s">
        <v>46</v>
      </c>
      <c r="AA476" s="0" t="s">
        <v>46</v>
      </c>
      <c r="AB476" s="0" t="s">
        <v>46</v>
      </c>
      <c r="AC476" s="0" t="s">
        <v>51</v>
      </c>
      <c r="AD476" s="0" t="s">
        <v>52</v>
      </c>
      <c r="AE476" s="0" t="s">
        <v>2590</v>
      </c>
      <c r="AF476" s="0" t="s">
        <v>2591</v>
      </c>
      <c r="AG476" s="0" t="s">
        <v>2592</v>
      </c>
      <c r="AH476" s="0" t="s">
        <v>2593</v>
      </c>
      <c r="AI476" s="0" t="s">
        <v>46</v>
      </c>
      <c r="AJ476" s="0" t="s">
        <v>46</v>
      </c>
      <c r="AK476" s="0" t="s">
        <v>46</v>
      </c>
      <c r="AL476" s="0" t="s">
        <v>46</v>
      </c>
    </row>
    <row r="477" customFormat="false" ht="15" hidden="false" customHeight="false" outlineLevel="0" collapsed="false">
      <c r="B477" s="0" t="str">
        <f aca="false">HYPERLINK("https://genome.ucsc.edu/cgi-bin/hgTracks?db=hg19&amp;position=chr17%3A17772623%2D17772623", "chr17:17772623")</f>
        <v>chr17:17772623</v>
      </c>
      <c r="C477" s="0" t="s">
        <v>279</v>
      </c>
      <c r="D477" s="0" t="n">
        <v>17772623</v>
      </c>
      <c r="E477" s="0" t="n">
        <v>17772623</v>
      </c>
      <c r="F477" s="0" t="s">
        <v>200</v>
      </c>
      <c r="G477" s="0" t="s">
        <v>57</v>
      </c>
      <c r="H477" s="0" t="s">
        <v>2594</v>
      </c>
      <c r="I477" s="0" t="s">
        <v>178</v>
      </c>
      <c r="J477" s="0" t="s">
        <v>2595</v>
      </c>
      <c r="K477" s="0" t="s">
        <v>46</v>
      </c>
      <c r="L477" s="0" t="s">
        <v>46</v>
      </c>
      <c r="M477" s="0" t="str">
        <f aca="false">HYPERLINK("https://www.genecards.org/Search/Keyword?queryString=%5Baliases%5D(%20TOM1L2%20)&amp;keywords=TOM1L2", "TOM1L2")</f>
        <v>TOM1L2</v>
      </c>
      <c r="N477" s="0" t="s">
        <v>1888</v>
      </c>
      <c r="O477" s="0" t="s">
        <v>2206</v>
      </c>
      <c r="P477" s="0" t="s">
        <v>2596</v>
      </c>
      <c r="Q477" s="0" t="n">
        <v>-1</v>
      </c>
      <c r="R477" s="0" t="n">
        <v>-1</v>
      </c>
      <c r="S477" s="0" t="n">
        <v>-1</v>
      </c>
      <c r="T477" s="0" t="n">
        <v>-1</v>
      </c>
      <c r="U477" s="0" t="n">
        <v>-1</v>
      </c>
      <c r="V477" s="0" t="s">
        <v>46</v>
      </c>
      <c r="W477" s="0" t="s">
        <v>46</v>
      </c>
      <c r="X477" s="0" t="s">
        <v>46</v>
      </c>
      <c r="Y477" s="0" t="s">
        <v>46</v>
      </c>
      <c r="Z477" s="0" t="s">
        <v>46</v>
      </c>
      <c r="AA477" s="0" t="s">
        <v>46</v>
      </c>
      <c r="AB477" s="0" t="s">
        <v>46</v>
      </c>
      <c r="AC477" s="0" t="s">
        <v>207</v>
      </c>
      <c r="AD477" s="0" t="s">
        <v>52</v>
      </c>
      <c r="AE477" s="0" t="s">
        <v>2597</v>
      </c>
      <c r="AF477" s="0" t="s">
        <v>2598</v>
      </c>
      <c r="AG477" s="0" t="s">
        <v>2599</v>
      </c>
      <c r="AH477" s="0" t="s">
        <v>46</v>
      </c>
      <c r="AI477" s="0" t="s">
        <v>46</v>
      </c>
      <c r="AJ477" s="0" t="s">
        <v>46</v>
      </c>
      <c r="AK477" s="0" t="s">
        <v>46</v>
      </c>
      <c r="AL477" s="0" t="s">
        <v>46</v>
      </c>
    </row>
    <row r="478" customFormat="false" ht="15" hidden="false" customHeight="false" outlineLevel="0" collapsed="false">
      <c r="B478" s="0" t="str">
        <f aca="false">HYPERLINK("https://genome.ucsc.edu/cgi-bin/hgTracks?db=hg19&amp;position=chr17%3A18041181%2D18041181", "chr17:18041181")</f>
        <v>chr17:18041181</v>
      </c>
      <c r="C478" s="0" t="s">
        <v>279</v>
      </c>
      <c r="D478" s="0" t="n">
        <v>18041181</v>
      </c>
      <c r="E478" s="0" t="n">
        <v>18041181</v>
      </c>
      <c r="F478" s="0" t="s">
        <v>69</v>
      </c>
      <c r="G478" s="0" t="s">
        <v>57</v>
      </c>
      <c r="H478" s="0" t="s">
        <v>1500</v>
      </c>
      <c r="I478" s="0" t="s">
        <v>311</v>
      </c>
      <c r="J478" s="0" t="s">
        <v>1141</v>
      </c>
      <c r="K478" s="0" t="s">
        <v>46</v>
      </c>
      <c r="L478" s="0" t="s">
        <v>46</v>
      </c>
      <c r="M478" s="0" t="str">
        <f aca="false">HYPERLINK("https://www.genecards.org/Search/Keyword?queryString=%5Baliases%5D(%20MYO15A%20)&amp;keywords=MYO15A", "MYO15A")</f>
        <v>MYO15A</v>
      </c>
      <c r="N478" s="0" t="s">
        <v>62</v>
      </c>
      <c r="O478" s="0" t="s">
        <v>46</v>
      </c>
      <c r="P478" s="0" t="s">
        <v>46</v>
      </c>
      <c r="Q478" s="0" t="n">
        <v>-1</v>
      </c>
      <c r="R478" s="0" t="n">
        <v>-1</v>
      </c>
      <c r="S478" s="0" t="n">
        <v>-1</v>
      </c>
      <c r="T478" s="0" t="n">
        <v>-1</v>
      </c>
      <c r="U478" s="0" t="n">
        <v>-1</v>
      </c>
      <c r="V478" s="0" t="s">
        <v>46</v>
      </c>
      <c r="W478" s="0" t="s">
        <v>46</v>
      </c>
      <c r="X478" s="0" t="s">
        <v>2255</v>
      </c>
      <c r="Y478" s="0" t="s">
        <v>64</v>
      </c>
      <c r="Z478" s="0" t="s">
        <v>46</v>
      </c>
      <c r="AA478" s="0" t="s">
        <v>46</v>
      </c>
      <c r="AB478" s="0" t="s">
        <v>46</v>
      </c>
      <c r="AC478" s="0" t="s">
        <v>51</v>
      </c>
      <c r="AD478" s="0" t="s">
        <v>856</v>
      </c>
      <c r="AE478" s="0" t="s">
        <v>46</v>
      </c>
      <c r="AF478" s="0" t="s">
        <v>1270</v>
      </c>
      <c r="AG478" s="0" t="s">
        <v>1271</v>
      </c>
      <c r="AH478" s="0" t="s">
        <v>46</v>
      </c>
      <c r="AI478" s="0" t="s">
        <v>46</v>
      </c>
      <c r="AJ478" s="0" t="s">
        <v>46</v>
      </c>
      <c r="AK478" s="0" t="s">
        <v>46</v>
      </c>
      <c r="AL478" s="0" t="s">
        <v>46</v>
      </c>
    </row>
    <row r="479" customFormat="false" ht="15" hidden="false" customHeight="false" outlineLevel="0" collapsed="false">
      <c r="B479" s="0" t="str">
        <f aca="false">HYPERLINK("https://genome.ucsc.edu/cgi-bin/hgTracks?db=hg19&amp;position=chr17%3A27069783%2D27069785", "chr17:27069783")</f>
        <v>chr17:27069783</v>
      </c>
      <c r="C479" s="0" t="s">
        <v>279</v>
      </c>
      <c r="D479" s="0" t="n">
        <v>27069783</v>
      </c>
      <c r="E479" s="0" t="n">
        <v>27069785</v>
      </c>
      <c r="F479" s="0" t="s">
        <v>2600</v>
      </c>
      <c r="G479" s="0" t="s">
        <v>200</v>
      </c>
      <c r="H479" s="0" t="s">
        <v>2601</v>
      </c>
      <c r="I479" s="0" t="s">
        <v>1494</v>
      </c>
      <c r="J479" s="0" t="s">
        <v>2602</v>
      </c>
      <c r="K479" s="0" t="s">
        <v>46</v>
      </c>
      <c r="L479" s="0" t="str">
        <f aca="false">HYPERLINK("https://www.ncbi.nlm.nih.gov/snp/rs1018863304", "rs1018863304")</f>
        <v>rs1018863304</v>
      </c>
      <c r="M479" s="0" t="str">
        <f aca="false">HYPERLINK("https://www.genecards.org/Search/Keyword?queryString=%5Baliases%5D(%20NEK8%20)&amp;keywords=NEK8", "NEK8")</f>
        <v>NEK8</v>
      </c>
      <c r="N479" s="0" t="s">
        <v>2270</v>
      </c>
      <c r="O479" s="0" t="s">
        <v>46</v>
      </c>
      <c r="P479" s="0" t="s">
        <v>2603</v>
      </c>
      <c r="Q479" s="0" t="n">
        <v>0.0151</v>
      </c>
      <c r="R479" s="0" t="n">
        <v>0.0053</v>
      </c>
      <c r="S479" s="0" t="n">
        <v>0.0061</v>
      </c>
      <c r="T479" s="0" t="n">
        <v>-1</v>
      </c>
      <c r="U479" s="0" t="n">
        <v>0.0357</v>
      </c>
      <c r="V479" s="0" t="s">
        <v>46</v>
      </c>
      <c r="W479" s="0" t="s">
        <v>46</v>
      </c>
      <c r="X479" s="0" t="s">
        <v>46</v>
      </c>
      <c r="Y479" s="0" t="s">
        <v>46</v>
      </c>
      <c r="Z479" s="0" t="s">
        <v>46</v>
      </c>
      <c r="AA479" s="0" t="s">
        <v>46</v>
      </c>
      <c r="AB479" s="0" t="s">
        <v>46</v>
      </c>
      <c r="AC479" s="0" t="s">
        <v>51</v>
      </c>
      <c r="AD479" s="0" t="s">
        <v>52</v>
      </c>
      <c r="AE479" s="0" t="s">
        <v>2604</v>
      </c>
      <c r="AF479" s="0" t="s">
        <v>2605</v>
      </c>
      <c r="AG479" s="0" t="s">
        <v>2606</v>
      </c>
      <c r="AH479" s="0" t="s">
        <v>2607</v>
      </c>
      <c r="AI479" s="0" t="s">
        <v>46</v>
      </c>
      <c r="AJ479" s="0" t="s">
        <v>46</v>
      </c>
      <c r="AK479" s="0" t="s">
        <v>46</v>
      </c>
      <c r="AL479" s="0" t="s">
        <v>46</v>
      </c>
    </row>
    <row r="480" customFormat="false" ht="15" hidden="false" customHeight="false" outlineLevel="0" collapsed="false">
      <c r="B480" s="0" t="str">
        <f aca="false">HYPERLINK("https://genome.ucsc.edu/cgi-bin/hgTracks?db=hg19&amp;position=chr17%3A38635808%2D38635808", "chr17:38635808")</f>
        <v>chr17:38635808</v>
      </c>
      <c r="C480" s="0" t="s">
        <v>279</v>
      </c>
      <c r="D480" s="0" t="n">
        <v>38635808</v>
      </c>
      <c r="E480" s="0" t="n">
        <v>38635808</v>
      </c>
      <c r="F480" s="0" t="s">
        <v>39</v>
      </c>
      <c r="G480" s="0" t="s">
        <v>40</v>
      </c>
      <c r="H480" s="0" t="s">
        <v>2608</v>
      </c>
      <c r="I480" s="0" t="s">
        <v>413</v>
      </c>
      <c r="J480" s="0" t="s">
        <v>2609</v>
      </c>
      <c r="K480" s="0" t="s">
        <v>46</v>
      </c>
      <c r="L480" s="0" t="str">
        <f aca="false">HYPERLINK("https://www.ncbi.nlm.nih.gov/snp/rs997839603", "rs997839603")</f>
        <v>rs997839603</v>
      </c>
      <c r="M480" s="0" t="str">
        <f aca="false">HYPERLINK("https://www.genecards.org/Search/Keyword?queryString=%5Baliases%5D(%20TNS4%20)&amp;keywords=TNS4", "TNS4")</f>
        <v>TNS4</v>
      </c>
      <c r="N480" s="0" t="s">
        <v>62</v>
      </c>
      <c r="O480" s="0" t="s">
        <v>46</v>
      </c>
      <c r="P480" s="0" t="s">
        <v>46</v>
      </c>
      <c r="Q480" s="0" t="n">
        <v>0.0002</v>
      </c>
      <c r="R480" s="0" t="n">
        <v>0.0003</v>
      </c>
      <c r="S480" s="0" t="n">
        <v>0.0002</v>
      </c>
      <c r="T480" s="0" t="n">
        <v>-1</v>
      </c>
      <c r="U480" s="0" t="n">
        <v>0.0002</v>
      </c>
      <c r="V480" s="0" t="s">
        <v>46</v>
      </c>
      <c r="W480" s="0" t="s">
        <v>46</v>
      </c>
      <c r="X480" s="0" t="s">
        <v>2255</v>
      </c>
      <c r="Y480" s="0" t="s">
        <v>64</v>
      </c>
      <c r="Z480" s="0" t="s">
        <v>46</v>
      </c>
      <c r="AA480" s="0" t="s">
        <v>46</v>
      </c>
      <c r="AB480" s="0" t="s">
        <v>46</v>
      </c>
      <c r="AC480" s="0" t="s">
        <v>51</v>
      </c>
      <c r="AD480" s="0" t="s">
        <v>52</v>
      </c>
      <c r="AE480" s="0" t="s">
        <v>2610</v>
      </c>
      <c r="AF480" s="0" t="s">
        <v>2611</v>
      </c>
      <c r="AG480" s="0" t="s">
        <v>2612</v>
      </c>
      <c r="AH480" s="0" t="s">
        <v>46</v>
      </c>
      <c r="AI480" s="0" t="s">
        <v>46</v>
      </c>
      <c r="AJ480" s="0" t="s">
        <v>46</v>
      </c>
      <c r="AK480" s="0" t="s">
        <v>46</v>
      </c>
      <c r="AL480" s="0" t="s">
        <v>46</v>
      </c>
    </row>
    <row r="481" customFormat="false" ht="15" hidden="false" customHeight="false" outlineLevel="0" collapsed="false">
      <c r="B481" s="0" t="str">
        <f aca="false">HYPERLINK("https://genome.ucsc.edu/cgi-bin/hgTracks?db=hg19&amp;position=chr17%3A38856214%2D38856214", "chr17:38856214")</f>
        <v>chr17:38856214</v>
      </c>
      <c r="C481" s="0" t="s">
        <v>279</v>
      </c>
      <c r="D481" s="0" t="n">
        <v>38856214</v>
      </c>
      <c r="E481" s="0" t="n">
        <v>38856214</v>
      </c>
      <c r="F481" s="0" t="s">
        <v>39</v>
      </c>
      <c r="G481" s="0" t="s">
        <v>57</v>
      </c>
      <c r="H481" s="0" t="s">
        <v>815</v>
      </c>
      <c r="I481" s="0" t="s">
        <v>421</v>
      </c>
      <c r="J481" s="0" t="s">
        <v>861</v>
      </c>
      <c r="K481" s="0" t="s">
        <v>46</v>
      </c>
      <c r="L481" s="0" t="str">
        <f aca="false">HYPERLINK("https://www.ncbi.nlm.nih.gov/snp/rs772317576", "rs772317576")</f>
        <v>rs772317576</v>
      </c>
      <c r="M481" s="0" t="str">
        <f aca="false">HYPERLINK("https://www.genecards.org/Search/Keyword?queryString=%5Baliases%5D(%20KRT24%20)&amp;keywords=KRT24", "KRT24")</f>
        <v>KRT24</v>
      </c>
      <c r="N481" s="0" t="s">
        <v>62</v>
      </c>
      <c r="O481" s="0" t="s">
        <v>46</v>
      </c>
      <c r="P481" s="0" t="s">
        <v>46</v>
      </c>
      <c r="Q481" s="0" t="n">
        <v>6.5E-006</v>
      </c>
      <c r="R481" s="0" t="n">
        <v>-1</v>
      </c>
      <c r="S481" s="0" t="n">
        <v>-1</v>
      </c>
      <c r="T481" s="0" t="n">
        <v>-1</v>
      </c>
      <c r="U481" s="0" t="n">
        <v>-1</v>
      </c>
      <c r="V481" s="0" t="s">
        <v>46</v>
      </c>
      <c r="W481" s="0" t="s">
        <v>46</v>
      </c>
      <c r="X481" s="0" t="s">
        <v>999</v>
      </c>
      <c r="Y481" s="0" t="s">
        <v>64</v>
      </c>
      <c r="Z481" s="0" t="s">
        <v>46</v>
      </c>
      <c r="AA481" s="0" t="s">
        <v>46</v>
      </c>
      <c r="AB481" s="0" t="s">
        <v>46</v>
      </c>
      <c r="AC481" s="0" t="s">
        <v>51</v>
      </c>
      <c r="AD481" s="0" t="s">
        <v>52</v>
      </c>
      <c r="AE481" s="0" t="s">
        <v>2613</v>
      </c>
      <c r="AF481" s="0" t="s">
        <v>2614</v>
      </c>
      <c r="AG481" s="0" t="s">
        <v>46</v>
      </c>
      <c r="AH481" s="0" t="s">
        <v>46</v>
      </c>
      <c r="AI481" s="0" t="s">
        <v>46</v>
      </c>
      <c r="AJ481" s="0" t="s">
        <v>46</v>
      </c>
      <c r="AK481" s="0" t="s">
        <v>46</v>
      </c>
      <c r="AL481" s="0" t="s">
        <v>46</v>
      </c>
    </row>
    <row r="482" customFormat="false" ht="15" hidden="false" customHeight="false" outlineLevel="0" collapsed="false">
      <c r="B482" s="0" t="str">
        <f aca="false">HYPERLINK("https://genome.ucsc.edu/cgi-bin/hgTracks?db=hg19&amp;position=chr17%3A40465398%2D40465400", "chr17:40465398")</f>
        <v>chr17:40465398</v>
      </c>
      <c r="C482" s="0" t="s">
        <v>279</v>
      </c>
      <c r="D482" s="0" t="n">
        <v>40465398</v>
      </c>
      <c r="E482" s="0" t="n">
        <v>40465400</v>
      </c>
      <c r="F482" s="0" t="s">
        <v>2600</v>
      </c>
      <c r="G482" s="0" t="s">
        <v>200</v>
      </c>
      <c r="H482" s="0" t="s">
        <v>2615</v>
      </c>
      <c r="I482" s="0" t="s">
        <v>369</v>
      </c>
      <c r="J482" s="0" t="s">
        <v>2616</v>
      </c>
      <c r="K482" s="0" t="s">
        <v>46</v>
      </c>
      <c r="L482" s="0" t="s">
        <v>46</v>
      </c>
      <c r="M482" s="0" t="str">
        <f aca="false">HYPERLINK("https://www.genecards.org/Search/Keyword?queryString=%5Baliases%5D(%20AK024535%20)%20OR%20%5Baliases%5D(%20STAT3%20)&amp;keywords=AK024535,STAT3", "AK024535;STAT3")</f>
        <v>AK024535;STAT3</v>
      </c>
      <c r="N482" s="0" t="s">
        <v>2270</v>
      </c>
      <c r="O482" s="0" t="s">
        <v>46</v>
      </c>
      <c r="P482" s="0" t="s">
        <v>2617</v>
      </c>
      <c r="Q482" s="0" t="n">
        <v>7.68E-005</v>
      </c>
      <c r="R482" s="0" t="n">
        <v>-1</v>
      </c>
      <c r="S482" s="0" t="n">
        <v>-1</v>
      </c>
      <c r="T482" s="0" t="n">
        <v>-1</v>
      </c>
      <c r="U482" s="0" t="n">
        <v>-1</v>
      </c>
      <c r="V482" s="0" t="s">
        <v>46</v>
      </c>
      <c r="W482" s="0" t="s">
        <v>46</v>
      </c>
      <c r="X482" s="0" t="s">
        <v>46</v>
      </c>
      <c r="Y482" s="0" t="s">
        <v>46</v>
      </c>
      <c r="Z482" s="0" t="s">
        <v>46</v>
      </c>
      <c r="AA482" s="0" t="s">
        <v>46</v>
      </c>
      <c r="AB482" s="0" t="s">
        <v>46</v>
      </c>
      <c r="AC482" s="0" t="s">
        <v>207</v>
      </c>
      <c r="AD482" s="0" t="s">
        <v>1263</v>
      </c>
      <c r="AE482" s="0" t="s">
        <v>2618</v>
      </c>
      <c r="AF482" s="0" t="s">
        <v>2619</v>
      </c>
      <c r="AG482" s="0" t="s">
        <v>2620</v>
      </c>
      <c r="AH482" s="0" t="s">
        <v>2621</v>
      </c>
      <c r="AI482" s="0" t="s">
        <v>46</v>
      </c>
      <c r="AJ482" s="0" t="s">
        <v>46</v>
      </c>
      <c r="AK482" s="0" t="s">
        <v>46</v>
      </c>
      <c r="AL482" s="0" t="s">
        <v>46</v>
      </c>
    </row>
    <row r="483" customFormat="false" ht="15" hidden="false" customHeight="false" outlineLevel="0" collapsed="false">
      <c r="B483" s="0" t="str">
        <f aca="false">HYPERLINK("https://genome.ucsc.edu/cgi-bin/hgTracks?db=hg19&amp;position=chr17%3A40465400%2D40465400", "chr17:40465400")</f>
        <v>chr17:40465400</v>
      </c>
      <c r="C483" s="0" t="s">
        <v>279</v>
      </c>
      <c r="D483" s="0" t="n">
        <v>40465400</v>
      </c>
      <c r="E483" s="0" t="n">
        <v>40465400</v>
      </c>
      <c r="F483" s="0" t="s">
        <v>57</v>
      </c>
      <c r="G483" s="0" t="s">
        <v>200</v>
      </c>
      <c r="H483" s="0" t="s">
        <v>2615</v>
      </c>
      <c r="I483" s="0" t="s">
        <v>369</v>
      </c>
      <c r="J483" s="0" t="s">
        <v>2616</v>
      </c>
      <c r="K483" s="0" t="s">
        <v>46</v>
      </c>
      <c r="L483" s="0" t="s">
        <v>46</v>
      </c>
      <c r="M483" s="0" t="str">
        <f aca="false">HYPERLINK("https://www.genecards.org/Search/Keyword?queryString=%5Baliases%5D(%20AK024535%20)%20OR%20%5Baliases%5D(%20STAT3%20)&amp;keywords=AK024535,STAT3", "AK024535;STAT3")</f>
        <v>AK024535;STAT3</v>
      </c>
      <c r="N483" s="0" t="s">
        <v>2270</v>
      </c>
      <c r="O483" s="0" t="s">
        <v>46</v>
      </c>
      <c r="P483" s="0" t="s">
        <v>2622</v>
      </c>
      <c r="Q483" s="0" t="n">
        <v>-1</v>
      </c>
      <c r="R483" s="0" t="n">
        <v>-1</v>
      </c>
      <c r="S483" s="0" t="n">
        <v>-1</v>
      </c>
      <c r="T483" s="0" t="n">
        <v>-1</v>
      </c>
      <c r="U483" s="0" t="n">
        <v>-1</v>
      </c>
      <c r="V483" s="0" t="s">
        <v>46</v>
      </c>
      <c r="W483" s="0" t="s">
        <v>46</v>
      </c>
      <c r="X483" s="0" t="s">
        <v>46</v>
      </c>
      <c r="Y483" s="0" t="s">
        <v>46</v>
      </c>
      <c r="Z483" s="0" t="s">
        <v>46</v>
      </c>
      <c r="AA483" s="0" t="s">
        <v>46</v>
      </c>
      <c r="AB483" s="0" t="s">
        <v>46</v>
      </c>
      <c r="AC483" s="0" t="s">
        <v>207</v>
      </c>
      <c r="AD483" s="0" t="s">
        <v>1263</v>
      </c>
      <c r="AE483" s="0" t="s">
        <v>2618</v>
      </c>
      <c r="AF483" s="0" t="s">
        <v>2619</v>
      </c>
      <c r="AG483" s="0" t="s">
        <v>2620</v>
      </c>
      <c r="AH483" s="0" t="s">
        <v>2621</v>
      </c>
      <c r="AI483" s="0" t="s">
        <v>46</v>
      </c>
      <c r="AJ483" s="0" t="s">
        <v>46</v>
      </c>
      <c r="AK483" s="0" t="s">
        <v>46</v>
      </c>
      <c r="AL483" s="0" t="s">
        <v>46</v>
      </c>
    </row>
    <row r="484" customFormat="false" ht="15" hidden="false" customHeight="false" outlineLevel="0" collapsed="false">
      <c r="B484" s="0" t="str">
        <f aca="false">HYPERLINK("https://genome.ucsc.edu/cgi-bin/hgTracks?db=hg19&amp;position=chr17%3A47294959%2D47294959", "chr17:47294959")</f>
        <v>chr17:47294959</v>
      </c>
      <c r="C484" s="0" t="s">
        <v>279</v>
      </c>
      <c r="D484" s="0" t="n">
        <v>47294959</v>
      </c>
      <c r="E484" s="0" t="n">
        <v>47294959</v>
      </c>
      <c r="F484" s="0" t="s">
        <v>69</v>
      </c>
      <c r="G484" s="0" t="s">
        <v>57</v>
      </c>
      <c r="H484" s="0" t="s">
        <v>1997</v>
      </c>
      <c r="I484" s="0" t="s">
        <v>434</v>
      </c>
      <c r="J484" s="0" t="s">
        <v>1336</v>
      </c>
      <c r="K484" s="0" t="s">
        <v>46</v>
      </c>
      <c r="L484" s="0" t="str">
        <f aca="false">HYPERLINK("https://www.ncbi.nlm.nih.gov/snp/rs554456022", "rs554456022")</f>
        <v>rs554456022</v>
      </c>
      <c r="M484" s="0" t="str">
        <f aca="false">HYPERLINK("https://www.genecards.org/Search/Keyword?queryString=%5Baliases%5D(%20ABI3%20)&amp;keywords=ABI3", "ABI3")</f>
        <v>ABI3</v>
      </c>
      <c r="N484" s="0" t="s">
        <v>62</v>
      </c>
      <c r="O484" s="0" t="s">
        <v>46</v>
      </c>
      <c r="P484" s="0" t="s">
        <v>46</v>
      </c>
      <c r="Q484" s="0" t="n">
        <v>0.0207</v>
      </c>
      <c r="R484" s="0" t="n">
        <v>0.0169</v>
      </c>
      <c r="S484" s="0" t="n">
        <v>0.0142</v>
      </c>
      <c r="T484" s="0" t="n">
        <v>-1</v>
      </c>
      <c r="U484" s="0" t="n">
        <v>0.0266</v>
      </c>
      <c r="V484" s="0" t="s">
        <v>46</v>
      </c>
      <c r="W484" s="0" t="s">
        <v>46</v>
      </c>
      <c r="X484" s="0" t="s">
        <v>2255</v>
      </c>
      <c r="Y484" s="0" t="s">
        <v>64</v>
      </c>
      <c r="Z484" s="0" t="s">
        <v>46</v>
      </c>
      <c r="AA484" s="0" t="s">
        <v>46</v>
      </c>
      <c r="AB484" s="0" t="s">
        <v>46</v>
      </c>
      <c r="AC484" s="0" t="s">
        <v>51</v>
      </c>
      <c r="AD484" s="0" t="s">
        <v>52</v>
      </c>
      <c r="AE484" s="0" t="s">
        <v>2623</v>
      </c>
      <c r="AF484" s="0" t="s">
        <v>2624</v>
      </c>
      <c r="AG484" s="0" t="s">
        <v>2625</v>
      </c>
      <c r="AH484" s="0" t="s">
        <v>46</v>
      </c>
      <c r="AI484" s="0" t="s">
        <v>46</v>
      </c>
      <c r="AJ484" s="0" t="s">
        <v>46</v>
      </c>
      <c r="AK484" s="0" t="s">
        <v>46</v>
      </c>
      <c r="AL484" s="0" t="s">
        <v>46</v>
      </c>
    </row>
    <row r="485" customFormat="false" ht="15" hidden="false" customHeight="false" outlineLevel="0" collapsed="false">
      <c r="B485" s="0" t="str">
        <f aca="false">HYPERLINK("https://genome.ucsc.edu/cgi-bin/hgTracks?db=hg19&amp;position=chr17%3A61476171%2D61476171", "chr17:61476171")</f>
        <v>chr17:61476171</v>
      </c>
      <c r="C485" s="0" t="s">
        <v>279</v>
      </c>
      <c r="D485" s="0" t="n">
        <v>61476171</v>
      </c>
      <c r="E485" s="0" t="n">
        <v>61476171</v>
      </c>
      <c r="F485" s="0" t="s">
        <v>40</v>
      </c>
      <c r="G485" s="0" t="s">
        <v>39</v>
      </c>
      <c r="H485" s="0" t="s">
        <v>1721</v>
      </c>
      <c r="I485" s="0" t="s">
        <v>413</v>
      </c>
      <c r="J485" s="0" t="s">
        <v>414</v>
      </c>
      <c r="K485" s="0" t="s">
        <v>46</v>
      </c>
      <c r="L485" s="0" t="s">
        <v>46</v>
      </c>
      <c r="M485" s="0" t="str">
        <f aca="false">HYPERLINK("https://www.genecards.org/Search/Keyword?queryString=%5Baliases%5D(%20TANC2%20)&amp;keywords=TANC2", "TANC2")</f>
        <v>TANC2</v>
      </c>
      <c r="N485" s="0" t="s">
        <v>2213</v>
      </c>
      <c r="O485" s="0" t="s">
        <v>46</v>
      </c>
      <c r="P485" s="0" t="s">
        <v>46</v>
      </c>
      <c r="Q485" s="0" t="n">
        <v>-1</v>
      </c>
      <c r="R485" s="0" t="n">
        <v>-1</v>
      </c>
      <c r="S485" s="0" t="n">
        <v>-1</v>
      </c>
      <c r="T485" s="0" t="n">
        <v>-1</v>
      </c>
      <c r="U485" s="0" t="n">
        <v>-1</v>
      </c>
      <c r="V485" s="0" t="s">
        <v>46</v>
      </c>
      <c r="W485" s="0" t="s">
        <v>999</v>
      </c>
      <c r="X485" s="0" t="s">
        <v>63</v>
      </c>
      <c r="Y485" s="0" t="s">
        <v>2214</v>
      </c>
      <c r="Z485" s="0" t="s">
        <v>46</v>
      </c>
      <c r="AA485" s="0" t="s">
        <v>46</v>
      </c>
      <c r="AB485" s="0" t="s">
        <v>46</v>
      </c>
      <c r="AC485" s="0" t="s">
        <v>51</v>
      </c>
      <c r="AD485" s="0" t="s">
        <v>52</v>
      </c>
      <c r="AE485" s="0" t="s">
        <v>2626</v>
      </c>
      <c r="AF485" s="0" t="s">
        <v>2627</v>
      </c>
      <c r="AG485" s="0" t="s">
        <v>46</v>
      </c>
      <c r="AH485" s="0" t="s">
        <v>46</v>
      </c>
      <c r="AI485" s="0" t="s">
        <v>46</v>
      </c>
      <c r="AJ485" s="0" t="s">
        <v>46</v>
      </c>
      <c r="AK485" s="0" t="s">
        <v>46</v>
      </c>
      <c r="AL485" s="0" t="s">
        <v>46</v>
      </c>
    </row>
    <row r="486" customFormat="false" ht="15" hidden="false" customHeight="false" outlineLevel="0" collapsed="false">
      <c r="B486" s="0" t="str">
        <f aca="false">HYPERLINK("https://genome.ucsc.edu/cgi-bin/hgTracks?db=hg19&amp;position=chr17%3A62144399%2D62144399", "chr17:62144399")</f>
        <v>chr17:62144399</v>
      </c>
      <c r="C486" s="0" t="s">
        <v>279</v>
      </c>
      <c r="D486" s="0" t="n">
        <v>62144399</v>
      </c>
      <c r="E486" s="0" t="n">
        <v>62144399</v>
      </c>
      <c r="F486" s="0" t="s">
        <v>40</v>
      </c>
      <c r="G486" s="0" t="s">
        <v>39</v>
      </c>
      <c r="H486" s="0" t="s">
        <v>2628</v>
      </c>
      <c r="I486" s="0" t="s">
        <v>311</v>
      </c>
      <c r="J486" s="0" t="s">
        <v>2629</v>
      </c>
      <c r="K486" s="0" t="s">
        <v>46</v>
      </c>
      <c r="L486" s="0" t="s">
        <v>46</v>
      </c>
      <c r="M486" s="0" t="str">
        <f aca="false">HYPERLINK("https://www.genecards.org/Search/Keyword?queryString=%5Baliases%5D(%20ERN1%20)&amp;keywords=ERN1", "ERN1")</f>
        <v>ERN1</v>
      </c>
      <c r="N486" s="0" t="s">
        <v>62</v>
      </c>
      <c r="O486" s="0" t="s">
        <v>46</v>
      </c>
      <c r="P486" s="0" t="s">
        <v>46</v>
      </c>
      <c r="Q486" s="0" t="n">
        <v>-1</v>
      </c>
      <c r="R486" s="0" t="n">
        <v>-1</v>
      </c>
      <c r="S486" s="0" t="n">
        <v>-1</v>
      </c>
      <c r="T486" s="0" t="n">
        <v>-1</v>
      </c>
      <c r="U486" s="0" t="n">
        <v>-1</v>
      </c>
      <c r="V486" s="0" t="s">
        <v>46</v>
      </c>
      <c r="W486" s="0" t="s">
        <v>46</v>
      </c>
      <c r="X486" s="0" t="s">
        <v>999</v>
      </c>
      <c r="Y486" s="0" t="s">
        <v>64</v>
      </c>
      <c r="Z486" s="0" t="s">
        <v>46</v>
      </c>
      <c r="AA486" s="0" t="s">
        <v>46</v>
      </c>
      <c r="AB486" s="0" t="s">
        <v>46</v>
      </c>
      <c r="AC486" s="0" t="s">
        <v>51</v>
      </c>
      <c r="AD486" s="0" t="s">
        <v>52</v>
      </c>
      <c r="AE486" s="0" t="s">
        <v>2630</v>
      </c>
      <c r="AF486" s="0" t="s">
        <v>2631</v>
      </c>
      <c r="AG486" s="0" t="s">
        <v>2632</v>
      </c>
      <c r="AH486" s="0" t="s">
        <v>46</v>
      </c>
      <c r="AI486" s="0" t="s">
        <v>46</v>
      </c>
      <c r="AJ486" s="0" t="s">
        <v>46</v>
      </c>
      <c r="AK486" s="0" t="s">
        <v>46</v>
      </c>
      <c r="AL486" s="0" t="s">
        <v>46</v>
      </c>
    </row>
    <row r="487" customFormat="false" ht="15" hidden="false" customHeight="false" outlineLevel="0" collapsed="false">
      <c r="B487" s="0" t="str">
        <f aca="false">HYPERLINK("https://genome.ucsc.edu/cgi-bin/hgTracks?db=hg19&amp;position=chr17%3A66871666%2D66871666", "chr17:66871666")</f>
        <v>chr17:66871666</v>
      </c>
      <c r="C487" s="0" t="s">
        <v>279</v>
      </c>
      <c r="D487" s="0" t="n">
        <v>66871666</v>
      </c>
      <c r="E487" s="0" t="n">
        <v>66871666</v>
      </c>
      <c r="F487" s="0" t="s">
        <v>57</v>
      </c>
      <c r="G487" s="0" t="s">
        <v>39</v>
      </c>
      <c r="H487" s="0" t="s">
        <v>1691</v>
      </c>
      <c r="I487" s="0" t="s">
        <v>842</v>
      </c>
      <c r="J487" s="0" t="s">
        <v>2633</v>
      </c>
      <c r="K487" s="0" t="s">
        <v>46</v>
      </c>
      <c r="L487" s="0" t="str">
        <f aca="false">HYPERLINK("https://www.ncbi.nlm.nih.gov/snp/rs144305951", "rs144305951")</f>
        <v>rs144305951</v>
      </c>
      <c r="M487" s="0" t="str">
        <f aca="false">HYPERLINK("https://www.genecards.org/Search/Keyword?queryString=%5Baliases%5D(%20ABCA8%20)&amp;keywords=ABCA8", "ABCA8")</f>
        <v>ABCA8</v>
      </c>
      <c r="N487" s="0" t="s">
        <v>62</v>
      </c>
      <c r="O487" s="0" t="s">
        <v>46</v>
      </c>
      <c r="P487" s="0" t="s">
        <v>46</v>
      </c>
      <c r="Q487" s="0" t="n">
        <v>0.0112</v>
      </c>
      <c r="R487" s="0" t="n">
        <v>0.0108</v>
      </c>
      <c r="S487" s="0" t="n">
        <v>0.0109</v>
      </c>
      <c r="T487" s="0" t="n">
        <v>-1</v>
      </c>
      <c r="U487" s="0" t="n">
        <v>0.0116</v>
      </c>
      <c r="V487" s="0" t="s">
        <v>46</v>
      </c>
      <c r="W487" s="0" t="s">
        <v>46</v>
      </c>
      <c r="X487" s="0" t="s">
        <v>2255</v>
      </c>
      <c r="Y487" s="0" t="s">
        <v>64</v>
      </c>
      <c r="Z487" s="0" t="s">
        <v>46</v>
      </c>
      <c r="AA487" s="0" t="s">
        <v>46</v>
      </c>
      <c r="AB487" s="0" t="s">
        <v>46</v>
      </c>
      <c r="AC487" s="0" t="s">
        <v>51</v>
      </c>
      <c r="AD487" s="0" t="s">
        <v>52</v>
      </c>
      <c r="AE487" s="0" t="s">
        <v>2634</v>
      </c>
      <c r="AF487" s="0" t="s">
        <v>2635</v>
      </c>
      <c r="AG487" s="0" t="s">
        <v>2636</v>
      </c>
      <c r="AH487" s="0" t="s">
        <v>46</v>
      </c>
      <c r="AI487" s="0" t="s">
        <v>46</v>
      </c>
      <c r="AJ487" s="0" t="s">
        <v>46</v>
      </c>
      <c r="AK487" s="0" t="s">
        <v>46</v>
      </c>
      <c r="AL487" s="0" t="s">
        <v>46</v>
      </c>
    </row>
    <row r="488" customFormat="false" ht="15" hidden="false" customHeight="false" outlineLevel="0" collapsed="false">
      <c r="B488" s="0" t="str">
        <f aca="false">HYPERLINK("https://genome.ucsc.edu/cgi-bin/hgTracks?db=hg19&amp;position=chr17%3A77039988%2D77039988", "chr17:77039988")</f>
        <v>chr17:77039988</v>
      </c>
      <c r="C488" s="0" t="s">
        <v>279</v>
      </c>
      <c r="D488" s="0" t="n">
        <v>77039988</v>
      </c>
      <c r="E488" s="0" t="n">
        <v>77039988</v>
      </c>
      <c r="F488" s="0" t="s">
        <v>39</v>
      </c>
      <c r="G488" s="0" t="s">
        <v>40</v>
      </c>
      <c r="H488" s="0" t="s">
        <v>2637</v>
      </c>
      <c r="I488" s="0" t="s">
        <v>896</v>
      </c>
      <c r="J488" s="0" t="s">
        <v>2638</v>
      </c>
      <c r="K488" s="0" t="s">
        <v>46</v>
      </c>
      <c r="L488" s="0" t="str">
        <f aca="false">HYPERLINK("https://www.ncbi.nlm.nih.gov/snp/rs143334812", "rs143334812")</f>
        <v>rs143334812</v>
      </c>
      <c r="M488" s="0" t="str">
        <f aca="false">HYPERLINK("https://www.genecards.org/Search/Keyword?queryString=%5Baliases%5D(%20C1QTNF1%20)&amp;keywords=C1QTNF1", "C1QTNF1")</f>
        <v>C1QTNF1</v>
      </c>
      <c r="N488" s="0" t="s">
        <v>2639</v>
      </c>
      <c r="O488" s="0" t="s">
        <v>371</v>
      </c>
      <c r="P488" s="0" t="s">
        <v>2640</v>
      </c>
      <c r="Q488" s="0" t="n">
        <v>0.013</v>
      </c>
      <c r="R488" s="0" t="n">
        <v>0.0099</v>
      </c>
      <c r="S488" s="0" t="n">
        <v>0.0126</v>
      </c>
      <c r="T488" s="0" t="n">
        <v>-1</v>
      </c>
      <c r="U488" s="0" t="n">
        <v>0.0122</v>
      </c>
      <c r="V488" s="0" t="s">
        <v>46</v>
      </c>
      <c r="W488" s="0" t="s">
        <v>46</v>
      </c>
      <c r="X488" s="0" t="s">
        <v>46</v>
      </c>
      <c r="Y488" s="0" t="s">
        <v>46</v>
      </c>
      <c r="Z488" s="0" t="s">
        <v>46</v>
      </c>
      <c r="AA488" s="0" t="s">
        <v>46</v>
      </c>
      <c r="AB488" s="0" t="s">
        <v>46</v>
      </c>
      <c r="AC488" s="0" t="s">
        <v>51</v>
      </c>
      <c r="AD488" s="0" t="s">
        <v>52</v>
      </c>
      <c r="AE488" s="0" t="s">
        <v>2641</v>
      </c>
      <c r="AF488" s="0" t="s">
        <v>2642</v>
      </c>
      <c r="AG488" s="0" t="s">
        <v>46</v>
      </c>
      <c r="AH488" s="0" t="s">
        <v>46</v>
      </c>
      <c r="AI488" s="0" t="s">
        <v>46</v>
      </c>
      <c r="AJ488" s="0" t="s">
        <v>46</v>
      </c>
      <c r="AK488" s="0" t="s">
        <v>46</v>
      </c>
      <c r="AL488" s="0" t="s">
        <v>46</v>
      </c>
    </row>
    <row r="489" customFormat="false" ht="15" hidden="false" customHeight="false" outlineLevel="0" collapsed="false">
      <c r="B489" s="0" t="str">
        <f aca="false">HYPERLINK("https://genome.ucsc.edu/cgi-bin/hgTracks?db=hg19&amp;position=chr17%3A78120792%2D78120829", "chr17:78120792")</f>
        <v>chr17:78120792</v>
      </c>
      <c r="C489" s="0" t="s">
        <v>279</v>
      </c>
      <c r="D489" s="0" t="n">
        <v>78120792</v>
      </c>
      <c r="E489" s="0" t="n">
        <v>78120829</v>
      </c>
      <c r="F489" s="0" t="s">
        <v>2643</v>
      </c>
      <c r="G489" s="0" t="s">
        <v>200</v>
      </c>
      <c r="H489" s="0" t="s">
        <v>2644</v>
      </c>
      <c r="I489" s="0" t="s">
        <v>311</v>
      </c>
      <c r="J489" s="0" t="s">
        <v>312</v>
      </c>
      <c r="K489" s="0" t="s">
        <v>46</v>
      </c>
      <c r="L489" s="0" t="s">
        <v>46</v>
      </c>
      <c r="M489" s="0" t="str">
        <f aca="false">HYPERLINK("https://www.genecards.org/Search/Keyword?queryString=%5Baliases%5D(%20EIF4A3%20)&amp;keywords=EIF4A3", "EIF4A3")</f>
        <v>EIF4A3</v>
      </c>
      <c r="N489" s="0" t="s">
        <v>2645</v>
      </c>
      <c r="O489" s="0" t="s">
        <v>46</v>
      </c>
      <c r="P489" s="0" t="s">
        <v>2646</v>
      </c>
      <c r="Q489" s="0" t="n">
        <v>0.0076</v>
      </c>
      <c r="R489" s="0" t="n">
        <v>0.0077</v>
      </c>
      <c r="S489" s="0" t="n">
        <v>0.0081</v>
      </c>
      <c r="T489" s="0" t="n">
        <v>-1</v>
      </c>
      <c r="U489" s="0" t="n">
        <v>0.009</v>
      </c>
      <c r="V489" s="0" t="s">
        <v>46</v>
      </c>
      <c r="W489" s="0" t="s">
        <v>46</v>
      </c>
      <c r="X489" s="0" t="s">
        <v>46</v>
      </c>
      <c r="Y489" s="0" t="s">
        <v>46</v>
      </c>
      <c r="Z489" s="0" t="s">
        <v>46</v>
      </c>
      <c r="AA489" s="0" t="s">
        <v>46</v>
      </c>
      <c r="AB489" s="0" t="s">
        <v>46</v>
      </c>
      <c r="AC489" s="0" t="s">
        <v>51</v>
      </c>
      <c r="AD489" s="0" t="s">
        <v>52</v>
      </c>
      <c r="AE489" s="0" t="s">
        <v>2647</v>
      </c>
      <c r="AF489" s="0" t="s">
        <v>2648</v>
      </c>
      <c r="AG489" s="0" t="s">
        <v>2649</v>
      </c>
      <c r="AH489" s="0" t="s">
        <v>46</v>
      </c>
      <c r="AI489" s="0" t="s">
        <v>46</v>
      </c>
      <c r="AJ489" s="0" t="s">
        <v>46</v>
      </c>
      <c r="AK489" s="0" t="s">
        <v>46</v>
      </c>
      <c r="AL489" s="0" t="s">
        <v>46</v>
      </c>
    </row>
    <row r="490" customFormat="false" ht="15" hidden="false" customHeight="false" outlineLevel="0" collapsed="false">
      <c r="B490" s="0" t="str">
        <f aca="false">HYPERLINK("https://genome.ucsc.edu/cgi-bin/hgTracks?db=hg19&amp;position=chr17%3A79987565%2D79987565", "chr17:79987565")</f>
        <v>chr17:79987565</v>
      </c>
      <c r="C490" s="0" t="s">
        <v>279</v>
      </c>
      <c r="D490" s="0" t="n">
        <v>79987565</v>
      </c>
      <c r="E490" s="0" t="n">
        <v>79987565</v>
      </c>
      <c r="F490" s="0" t="s">
        <v>69</v>
      </c>
      <c r="G490" s="0" t="s">
        <v>57</v>
      </c>
      <c r="H490" s="0" t="s">
        <v>451</v>
      </c>
      <c r="I490" s="0" t="s">
        <v>133</v>
      </c>
      <c r="J490" s="0" t="s">
        <v>134</v>
      </c>
      <c r="K490" s="0" t="s">
        <v>46</v>
      </c>
      <c r="L490" s="0" t="str">
        <f aca="false">HYPERLINK("https://www.ncbi.nlm.nih.gov/snp/rs79644420", "rs79644420")</f>
        <v>rs79644420</v>
      </c>
      <c r="M490" s="0" t="str">
        <f aca="false">HYPERLINK("https://www.genecards.org/Search/Keyword?queryString=%5Baliases%5D(%20LRRC45%20)&amp;keywords=LRRC45", "LRRC45")</f>
        <v>LRRC45</v>
      </c>
      <c r="N490" s="0" t="s">
        <v>62</v>
      </c>
      <c r="O490" s="0" t="s">
        <v>46</v>
      </c>
      <c r="P490" s="0" t="s">
        <v>46</v>
      </c>
      <c r="Q490" s="0" t="n">
        <v>0.0191</v>
      </c>
      <c r="R490" s="0" t="n">
        <v>0.0196</v>
      </c>
      <c r="S490" s="0" t="n">
        <v>0.019</v>
      </c>
      <c r="T490" s="0" t="n">
        <v>-1</v>
      </c>
      <c r="U490" s="0" t="n">
        <v>0.0176</v>
      </c>
      <c r="V490" s="0" t="s">
        <v>46</v>
      </c>
      <c r="W490" s="0" t="s">
        <v>46</v>
      </c>
      <c r="X490" s="0" t="s">
        <v>2255</v>
      </c>
      <c r="Y490" s="0" t="s">
        <v>64</v>
      </c>
      <c r="Z490" s="0" t="s">
        <v>46</v>
      </c>
      <c r="AA490" s="0" t="s">
        <v>46</v>
      </c>
      <c r="AB490" s="0" t="s">
        <v>46</v>
      </c>
      <c r="AC490" s="0" t="s">
        <v>51</v>
      </c>
      <c r="AD490" s="0" t="s">
        <v>52</v>
      </c>
      <c r="AE490" s="0" t="s">
        <v>2650</v>
      </c>
      <c r="AF490" s="0" t="s">
        <v>2651</v>
      </c>
      <c r="AG490" s="0" t="s">
        <v>2652</v>
      </c>
      <c r="AH490" s="0" t="s">
        <v>46</v>
      </c>
      <c r="AI490" s="0" t="s">
        <v>46</v>
      </c>
      <c r="AJ490" s="0" t="s">
        <v>46</v>
      </c>
      <c r="AK490" s="0" t="s">
        <v>46</v>
      </c>
      <c r="AL490" s="0" t="s">
        <v>46</v>
      </c>
    </row>
    <row r="491" customFormat="false" ht="15" hidden="false" customHeight="false" outlineLevel="0" collapsed="false">
      <c r="B491" s="0" t="str">
        <f aca="false">HYPERLINK("https://genome.ucsc.edu/cgi-bin/hgTracks?db=hg19&amp;position=chr18%3A51053191%2D51053191", "chr18:51053191")</f>
        <v>chr18:51053191</v>
      </c>
      <c r="C491" s="0" t="s">
        <v>1321</v>
      </c>
      <c r="D491" s="0" t="n">
        <v>51053191</v>
      </c>
      <c r="E491" s="0" t="n">
        <v>51053191</v>
      </c>
      <c r="F491" s="0" t="s">
        <v>69</v>
      </c>
      <c r="G491" s="0" t="s">
        <v>57</v>
      </c>
      <c r="H491" s="0" t="s">
        <v>227</v>
      </c>
      <c r="I491" s="0" t="s">
        <v>1494</v>
      </c>
      <c r="J491" s="0" t="s">
        <v>2653</v>
      </c>
      <c r="K491" s="0" t="s">
        <v>46</v>
      </c>
      <c r="L491" s="0" t="str">
        <f aca="false">HYPERLINK("https://www.ncbi.nlm.nih.gov/snp/rs183768470", "rs183768470")</f>
        <v>rs183768470</v>
      </c>
      <c r="M491" s="0" t="str">
        <f aca="false">HYPERLINK("https://www.genecards.org/Search/Keyword?queryString=%5Baliases%5D(%20DCC%20)&amp;keywords=DCC", "DCC")</f>
        <v>DCC</v>
      </c>
      <c r="N491" s="0" t="s">
        <v>2213</v>
      </c>
      <c r="O491" s="0" t="s">
        <v>46</v>
      </c>
      <c r="P491" s="0" t="s">
        <v>46</v>
      </c>
      <c r="Q491" s="0" t="n">
        <v>0.004</v>
      </c>
      <c r="R491" s="0" t="n">
        <v>0.0048</v>
      </c>
      <c r="S491" s="0" t="n">
        <v>0.0037</v>
      </c>
      <c r="T491" s="0" t="n">
        <v>-1</v>
      </c>
      <c r="U491" s="0" t="n">
        <v>0.0077</v>
      </c>
      <c r="V491" s="0" t="s">
        <v>46</v>
      </c>
      <c r="W491" s="0" t="s">
        <v>46</v>
      </c>
      <c r="X491" s="0" t="s">
        <v>63</v>
      </c>
      <c r="Y491" s="0" t="s">
        <v>64</v>
      </c>
      <c r="Z491" s="0" t="s">
        <v>46</v>
      </c>
      <c r="AA491" s="0" t="s">
        <v>46</v>
      </c>
      <c r="AB491" s="0" t="s">
        <v>46</v>
      </c>
      <c r="AC491" s="0" t="s">
        <v>51</v>
      </c>
      <c r="AD491" s="0" t="s">
        <v>52</v>
      </c>
      <c r="AE491" s="0" t="s">
        <v>2654</v>
      </c>
      <c r="AF491" s="0" t="s">
        <v>2655</v>
      </c>
      <c r="AG491" s="0" t="s">
        <v>2656</v>
      </c>
      <c r="AH491" s="0" t="s">
        <v>2657</v>
      </c>
      <c r="AI491" s="0" t="s">
        <v>46</v>
      </c>
      <c r="AJ491" s="0" t="s">
        <v>46</v>
      </c>
      <c r="AK491" s="0" t="s">
        <v>46</v>
      </c>
      <c r="AL491" s="0" t="s">
        <v>46</v>
      </c>
    </row>
    <row r="492" customFormat="false" ht="15" hidden="false" customHeight="false" outlineLevel="0" collapsed="false">
      <c r="B492" s="0" t="str">
        <f aca="false">HYPERLINK("https://genome.ucsc.edu/cgi-bin/hgTracks?db=hg19&amp;position=chr18%3A55372051%2D55372051", "chr18:55372051")</f>
        <v>chr18:55372051</v>
      </c>
      <c r="C492" s="0" t="s">
        <v>1321</v>
      </c>
      <c r="D492" s="0" t="n">
        <v>55372051</v>
      </c>
      <c r="E492" s="0" t="n">
        <v>55372051</v>
      </c>
      <c r="F492" s="0" t="s">
        <v>40</v>
      </c>
      <c r="G492" s="0" t="s">
        <v>57</v>
      </c>
      <c r="H492" s="0" t="s">
        <v>2658</v>
      </c>
      <c r="I492" s="0" t="s">
        <v>178</v>
      </c>
      <c r="J492" s="0" t="s">
        <v>247</v>
      </c>
      <c r="K492" s="0" t="s">
        <v>46</v>
      </c>
      <c r="L492" s="0" t="str">
        <f aca="false">HYPERLINK("https://www.ncbi.nlm.nih.gov/snp/rs560493262", "rs560493262")</f>
        <v>rs560493262</v>
      </c>
      <c r="M492" s="0" t="str">
        <f aca="false">HYPERLINK("https://www.genecards.org/Search/Keyword?queryString=%5Baliases%5D(%20ATP8B1%20)&amp;keywords=ATP8B1", "ATP8B1")</f>
        <v>ATP8B1</v>
      </c>
      <c r="N492" s="0" t="s">
        <v>2213</v>
      </c>
      <c r="O492" s="0" t="s">
        <v>46</v>
      </c>
      <c r="P492" s="0" t="s">
        <v>46</v>
      </c>
      <c r="Q492" s="0" t="n">
        <v>0.0025</v>
      </c>
      <c r="R492" s="0" t="n">
        <v>0.0028</v>
      </c>
      <c r="S492" s="0" t="n">
        <v>0.0026</v>
      </c>
      <c r="T492" s="0" t="n">
        <v>-1</v>
      </c>
      <c r="U492" s="0" t="n">
        <v>0.0038</v>
      </c>
      <c r="V492" s="0" t="s">
        <v>46</v>
      </c>
      <c r="W492" s="0" t="s">
        <v>46</v>
      </c>
      <c r="X492" s="0" t="s">
        <v>63</v>
      </c>
      <c r="Y492" s="0" t="s">
        <v>64</v>
      </c>
      <c r="Z492" s="0" t="s">
        <v>46</v>
      </c>
      <c r="AA492" s="0" t="s">
        <v>46</v>
      </c>
      <c r="AB492" s="0" t="s">
        <v>46</v>
      </c>
      <c r="AC492" s="0" t="s">
        <v>51</v>
      </c>
      <c r="AD492" s="0" t="s">
        <v>52</v>
      </c>
      <c r="AE492" s="0" t="s">
        <v>2659</v>
      </c>
      <c r="AF492" s="0" t="s">
        <v>2660</v>
      </c>
      <c r="AG492" s="0" t="s">
        <v>2661</v>
      </c>
      <c r="AH492" s="0" t="s">
        <v>2662</v>
      </c>
      <c r="AI492" s="0" t="s">
        <v>46</v>
      </c>
      <c r="AJ492" s="0" t="s">
        <v>46</v>
      </c>
      <c r="AK492" s="0" t="s">
        <v>46</v>
      </c>
      <c r="AL492" s="0" t="s">
        <v>46</v>
      </c>
    </row>
    <row r="493" customFormat="false" ht="15" hidden="false" customHeight="false" outlineLevel="0" collapsed="false">
      <c r="B493" s="0" t="str">
        <f aca="false">HYPERLINK("https://genome.ucsc.edu/cgi-bin/hgTracks?db=hg19&amp;position=chr18%3A56357589%2D56357589", "chr18:56357589")</f>
        <v>chr18:56357589</v>
      </c>
      <c r="C493" s="0" t="s">
        <v>1321</v>
      </c>
      <c r="D493" s="0" t="n">
        <v>56357589</v>
      </c>
      <c r="E493" s="0" t="n">
        <v>56357589</v>
      </c>
      <c r="F493" s="0" t="s">
        <v>39</v>
      </c>
      <c r="G493" s="0" t="s">
        <v>40</v>
      </c>
      <c r="H493" s="0" t="s">
        <v>760</v>
      </c>
      <c r="I493" s="0" t="s">
        <v>178</v>
      </c>
      <c r="J493" s="0" t="s">
        <v>2663</v>
      </c>
      <c r="K493" s="0" t="s">
        <v>46</v>
      </c>
      <c r="L493" s="0" t="s">
        <v>46</v>
      </c>
      <c r="M493" s="0" t="str">
        <f aca="false">HYPERLINK("https://www.genecards.org/Search/Keyword?queryString=%5Baliases%5D(%20MALT1%20)&amp;keywords=MALT1", "MALT1")</f>
        <v>MALT1</v>
      </c>
      <c r="N493" s="0" t="s">
        <v>2213</v>
      </c>
      <c r="O493" s="0" t="s">
        <v>46</v>
      </c>
      <c r="P493" s="0" t="s">
        <v>46</v>
      </c>
      <c r="Q493" s="0" t="n">
        <v>-1</v>
      </c>
      <c r="R493" s="0" t="n">
        <v>-1</v>
      </c>
      <c r="S493" s="0" t="n">
        <v>-1</v>
      </c>
      <c r="T493" s="0" t="n">
        <v>-1</v>
      </c>
      <c r="U493" s="0" t="n">
        <v>-1</v>
      </c>
      <c r="V493" s="0" t="s">
        <v>46</v>
      </c>
      <c r="W493" s="0" t="s">
        <v>46</v>
      </c>
      <c r="X493" s="0" t="s">
        <v>46</v>
      </c>
      <c r="Y493" s="0" t="s">
        <v>46</v>
      </c>
      <c r="Z493" s="0" t="s">
        <v>46</v>
      </c>
      <c r="AA493" s="0" t="s">
        <v>46</v>
      </c>
      <c r="AB493" s="0" t="s">
        <v>46</v>
      </c>
      <c r="AC493" s="0" t="s">
        <v>51</v>
      </c>
      <c r="AD493" s="0" t="s">
        <v>52</v>
      </c>
      <c r="AE493" s="0" t="s">
        <v>2664</v>
      </c>
      <c r="AF493" s="0" t="s">
        <v>2665</v>
      </c>
      <c r="AG493" s="0" t="s">
        <v>2666</v>
      </c>
      <c r="AH493" s="0" t="s">
        <v>2667</v>
      </c>
      <c r="AI493" s="0" t="s">
        <v>46</v>
      </c>
      <c r="AJ493" s="0" t="s">
        <v>46</v>
      </c>
      <c r="AK493" s="0" t="s">
        <v>46</v>
      </c>
      <c r="AL493" s="0" t="s">
        <v>46</v>
      </c>
    </row>
    <row r="494" customFormat="false" ht="15" hidden="false" customHeight="false" outlineLevel="0" collapsed="false">
      <c r="B494" s="0" t="str">
        <f aca="false">HYPERLINK("https://genome.ucsc.edu/cgi-bin/hgTracks?db=hg19&amp;position=chr19%3A1008168%2D1008168", "chr19:1008168")</f>
        <v>chr19:1008168</v>
      </c>
      <c r="C494" s="0" t="s">
        <v>1348</v>
      </c>
      <c r="D494" s="0" t="n">
        <v>1008168</v>
      </c>
      <c r="E494" s="0" t="n">
        <v>1008168</v>
      </c>
      <c r="F494" s="0" t="s">
        <v>39</v>
      </c>
      <c r="G494" s="0" t="s">
        <v>200</v>
      </c>
      <c r="H494" s="0" t="s">
        <v>2668</v>
      </c>
      <c r="I494" s="0" t="s">
        <v>42</v>
      </c>
      <c r="J494" s="0" t="s">
        <v>2669</v>
      </c>
      <c r="K494" s="0" t="s">
        <v>46</v>
      </c>
      <c r="L494" s="0" t="str">
        <f aca="false">HYPERLINK("https://www.ncbi.nlm.nih.gov/snp/rs769343539", "rs769343539")</f>
        <v>rs769343539</v>
      </c>
      <c r="M494" s="0" t="str">
        <f aca="false">HYPERLINK("https://www.genecards.org/Search/Keyword?queryString=%5Baliases%5D(%20GRIN3B%20)&amp;keywords=GRIN3B", "GRIN3B")</f>
        <v>GRIN3B</v>
      </c>
      <c r="N494" s="0" t="s">
        <v>98</v>
      </c>
      <c r="O494" s="0" t="s">
        <v>2265</v>
      </c>
      <c r="P494" s="0" t="s">
        <v>2670</v>
      </c>
      <c r="Q494" s="0" t="n">
        <v>0.001</v>
      </c>
      <c r="R494" s="0" t="n">
        <v>-1</v>
      </c>
      <c r="S494" s="0" t="n">
        <v>-1</v>
      </c>
      <c r="T494" s="0" t="n">
        <v>-1</v>
      </c>
      <c r="U494" s="0" t="n">
        <v>-1</v>
      </c>
      <c r="V494" s="0" t="s">
        <v>46</v>
      </c>
      <c r="W494" s="0" t="s">
        <v>46</v>
      </c>
      <c r="X494" s="0" t="s">
        <v>46</v>
      </c>
      <c r="Y494" s="0" t="s">
        <v>46</v>
      </c>
      <c r="Z494" s="0" t="s">
        <v>46</v>
      </c>
      <c r="AA494" s="0" t="s">
        <v>46</v>
      </c>
      <c r="AB494" s="0" t="s">
        <v>46</v>
      </c>
      <c r="AC494" s="0" t="s">
        <v>51</v>
      </c>
      <c r="AD494" s="0" t="s">
        <v>52</v>
      </c>
      <c r="AE494" s="0" t="s">
        <v>2671</v>
      </c>
      <c r="AF494" s="0" t="s">
        <v>2672</v>
      </c>
      <c r="AG494" s="0" t="s">
        <v>2673</v>
      </c>
      <c r="AH494" s="0" t="s">
        <v>46</v>
      </c>
      <c r="AI494" s="0" t="s">
        <v>46</v>
      </c>
      <c r="AJ494" s="0" t="s">
        <v>46</v>
      </c>
      <c r="AK494" s="0" t="s">
        <v>46</v>
      </c>
      <c r="AL494" s="0" t="s">
        <v>46</v>
      </c>
    </row>
    <row r="495" customFormat="false" ht="15" hidden="false" customHeight="false" outlineLevel="0" collapsed="false">
      <c r="B495" s="0" t="str">
        <f aca="false">HYPERLINK("https://genome.ucsc.edu/cgi-bin/hgTracks?db=hg19&amp;position=chr19%3A2097091%2D2097092", "chr19:2097091")</f>
        <v>chr19:2097091</v>
      </c>
      <c r="C495" s="0" t="s">
        <v>1348</v>
      </c>
      <c r="D495" s="0" t="n">
        <v>2097091</v>
      </c>
      <c r="E495" s="0" t="n">
        <v>2097092</v>
      </c>
      <c r="F495" s="0" t="s">
        <v>2429</v>
      </c>
      <c r="G495" s="0" t="s">
        <v>200</v>
      </c>
      <c r="H495" s="0" t="s">
        <v>2674</v>
      </c>
      <c r="I495" s="0" t="s">
        <v>872</v>
      </c>
      <c r="J495" s="0" t="s">
        <v>2675</v>
      </c>
      <c r="K495" s="0" t="s">
        <v>46</v>
      </c>
      <c r="L495" s="0" t="s">
        <v>46</v>
      </c>
      <c r="M495" s="0" t="str">
        <f aca="false">HYPERLINK("https://www.genecards.org/Search/Keyword?queryString=%5Baliases%5D(%20IZUMO4%20)&amp;keywords=IZUMO4", "IZUMO4")</f>
        <v>IZUMO4</v>
      </c>
      <c r="N495" s="0" t="s">
        <v>98</v>
      </c>
      <c r="O495" s="0" t="s">
        <v>2265</v>
      </c>
      <c r="P495" s="0" t="s">
        <v>2676</v>
      </c>
      <c r="Q495" s="0" t="n">
        <v>-1</v>
      </c>
      <c r="R495" s="0" t="n">
        <v>-1</v>
      </c>
      <c r="S495" s="0" t="n">
        <v>-1</v>
      </c>
      <c r="T495" s="0" t="n">
        <v>-1</v>
      </c>
      <c r="U495" s="0" t="n">
        <v>-1</v>
      </c>
      <c r="V495" s="0" t="s">
        <v>46</v>
      </c>
      <c r="W495" s="0" t="s">
        <v>46</v>
      </c>
      <c r="X495" s="0" t="s">
        <v>46</v>
      </c>
      <c r="Y495" s="0" t="s">
        <v>46</v>
      </c>
      <c r="Z495" s="0" t="s">
        <v>46</v>
      </c>
      <c r="AA495" s="0" t="s">
        <v>46</v>
      </c>
      <c r="AB495" s="0" t="s">
        <v>46</v>
      </c>
      <c r="AC495" s="0" t="s">
        <v>51</v>
      </c>
      <c r="AD495" s="0" t="s">
        <v>52</v>
      </c>
      <c r="AE495" s="0" t="s">
        <v>2677</v>
      </c>
      <c r="AF495" s="0" t="s">
        <v>2678</v>
      </c>
      <c r="AG495" s="0" t="s">
        <v>46</v>
      </c>
      <c r="AH495" s="0" t="s">
        <v>46</v>
      </c>
      <c r="AI495" s="0" t="s">
        <v>46</v>
      </c>
      <c r="AJ495" s="0" t="s">
        <v>46</v>
      </c>
      <c r="AK495" s="0" t="s">
        <v>46</v>
      </c>
      <c r="AL495" s="0" t="s">
        <v>46</v>
      </c>
    </row>
    <row r="496" customFormat="false" ht="15" hidden="false" customHeight="false" outlineLevel="0" collapsed="false">
      <c r="B496" s="0" t="str">
        <f aca="false">HYPERLINK("https://genome.ucsc.edu/cgi-bin/hgTracks?db=hg19&amp;position=chr19%3A3121247%2D3121247", "chr19:3121247")</f>
        <v>chr19:3121247</v>
      </c>
      <c r="C496" s="0" t="s">
        <v>1348</v>
      </c>
      <c r="D496" s="0" t="n">
        <v>3121247</v>
      </c>
      <c r="E496" s="0" t="n">
        <v>3121247</v>
      </c>
      <c r="F496" s="0" t="s">
        <v>39</v>
      </c>
      <c r="G496" s="0" t="s">
        <v>40</v>
      </c>
      <c r="H496" s="0" t="s">
        <v>2679</v>
      </c>
      <c r="I496" s="0" t="s">
        <v>427</v>
      </c>
      <c r="J496" s="0" t="s">
        <v>428</v>
      </c>
      <c r="K496" s="0" t="s">
        <v>46</v>
      </c>
      <c r="L496" s="0" t="str">
        <f aca="false">HYPERLINK("https://www.ncbi.nlm.nih.gov/snp/rs11549609", "rs11549609")</f>
        <v>rs11549609</v>
      </c>
      <c r="M496" s="0" t="str">
        <f aca="false">HYPERLINK("https://www.genecards.org/Search/Keyword?queryString=%5Baliases%5D(%20GNA11%20)&amp;keywords=GNA11", "GNA11")</f>
        <v>GNA11</v>
      </c>
      <c r="N496" s="0" t="s">
        <v>2270</v>
      </c>
      <c r="O496" s="0" t="s">
        <v>46</v>
      </c>
      <c r="P496" s="0" t="s">
        <v>2680</v>
      </c>
      <c r="Q496" s="0" t="n">
        <v>0.0129</v>
      </c>
      <c r="R496" s="0" t="n">
        <v>0.0111</v>
      </c>
      <c r="S496" s="0" t="n">
        <v>0.0106</v>
      </c>
      <c r="T496" s="0" t="n">
        <v>-1</v>
      </c>
      <c r="U496" s="0" t="n">
        <v>0.011</v>
      </c>
      <c r="V496" s="0" t="s">
        <v>46</v>
      </c>
      <c r="W496" s="0" t="s">
        <v>46</v>
      </c>
      <c r="X496" s="0" t="s">
        <v>46</v>
      </c>
      <c r="Y496" s="0" t="s">
        <v>46</v>
      </c>
      <c r="Z496" s="0" t="s">
        <v>46</v>
      </c>
      <c r="AA496" s="0" t="s">
        <v>46</v>
      </c>
      <c r="AB496" s="0" t="s">
        <v>46</v>
      </c>
      <c r="AC496" s="0" t="s">
        <v>51</v>
      </c>
      <c r="AD496" s="0" t="s">
        <v>52</v>
      </c>
      <c r="AE496" s="0" t="s">
        <v>2681</v>
      </c>
      <c r="AF496" s="0" t="s">
        <v>2682</v>
      </c>
      <c r="AG496" s="0" t="s">
        <v>2683</v>
      </c>
      <c r="AH496" s="0" t="s">
        <v>2684</v>
      </c>
      <c r="AI496" s="0" t="s">
        <v>46</v>
      </c>
      <c r="AJ496" s="0" t="s">
        <v>46</v>
      </c>
      <c r="AK496" s="0" t="s">
        <v>46</v>
      </c>
      <c r="AL496" s="0" t="s">
        <v>46</v>
      </c>
    </row>
    <row r="497" customFormat="false" ht="15" hidden="false" customHeight="false" outlineLevel="0" collapsed="false">
      <c r="B497" s="0" t="str">
        <f aca="false">HYPERLINK("https://genome.ucsc.edu/cgi-bin/hgTracks?db=hg19&amp;position=chr19%3A3910998%2D3910999", "chr19:3910998")</f>
        <v>chr19:3910998</v>
      </c>
      <c r="C497" s="0" t="s">
        <v>1348</v>
      </c>
      <c r="D497" s="0" t="n">
        <v>3910998</v>
      </c>
      <c r="E497" s="0" t="n">
        <v>3910999</v>
      </c>
      <c r="F497" s="0" t="s">
        <v>2685</v>
      </c>
      <c r="G497" s="0" t="s">
        <v>200</v>
      </c>
      <c r="H497" s="0" t="s">
        <v>2686</v>
      </c>
      <c r="I497" s="0" t="s">
        <v>178</v>
      </c>
      <c r="J497" s="0" t="s">
        <v>179</v>
      </c>
      <c r="K497" s="0" t="s">
        <v>46</v>
      </c>
      <c r="L497" s="0" t="str">
        <f aca="false">HYPERLINK("https://www.ncbi.nlm.nih.gov/snp/rs139307304", "rs139307304")</f>
        <v>rs139307304</v>
      </c>
      <c r="M497" s="0" t="str">
        <f aca="false">HYPERLINK("https://www.genecards.org/Search/Keyword?queryString=%5Baliases%5D(%20ATCAY%20)%20OR%20%5Baliases%5D(%20MIR1268A%20)&amp;keywords=ATCAY,MIR1268A", "ATCAY;MIR1268A")</f>
        <v>ATCAY;MIR1268A</v>
      </c>
      <c r="N497" s="0" t="s">
        <v>2213</v>
      </c>
      <c r="O497" s="0" t="s">
        <v>46</v>
      </c>
      <c r="P497" s="0" t="s">
        <v>46</v>
      </c>
      <c r="Q497" s="0" t="n">
        <v>0.0227</v>
      </c>
      <c r="R497" s="0" t="n">
        <v>0.0189</v>
      </c>
      <c r="S497" s="0" t="n">
        <v>0.021</v>
      </c>
      <c r="T497" s="0" t="n">
        <v>-1</v>
      </c>
      <c r="U497" s="0" t="n">
        <v>0.0183</v>
      </c>
      <c r="V497" s="0" t="s">
        <v>46</v>
      </c>
      <c r="W497" s="0" t="s">
        <v>46</v>
      </c>
      <c r="X497" s="0" t="s">
        <v>46</v>
      </c>
      <c r="Y497" s="0" t="s">
        <v>46</v>
      </c>
      <c r="Z497" s="0" t="s">
        <v>46</v>
      </c>
      <c r="AA497" s="0" t="s">
        <v>46</v>
      </c>
      <c r="AB497" s="0" t="s">
        <v>46</v>
      </c>
      <c r="AC497" s="0" t="s">
        <v>51</v>
      </c>
      <c r="AD497" s="0" t="s">
        <v>1263</v>
      </c>
      <c r="AE497" s="0" t="s">
        <v>2687</v>
      </c>
      <c r="AF497" s="0" t="s">
        <v>2688</v>
      </c>
      <c r="AG497" s="0" t="s">
        <v>2689</v>
      </c>
      <c r="AH497" s="0" t="s">
        <v>2690</v>
      </c>
      <c r="AI497" s="0" t="s">
        <v>46</v>
      </c>
      <c r="AJ497" s="0" t="s">
        <v>46</v>
      </c>
      <c r="AK497" s="0" t="s">
        <v>46</v>
      </c>
      <c r="AL497" s="0" t="s">
        <v>46</v>
      </c>
    </row>
    <row r="498" customFormat="false" ht="15" hidden="false" customHeight="false" outlineLevel="0" collapsed="false">
      <c r="B498" s="0" t="str">
        <f aca="false">HYPERLINK("https://genome.ucsc.edu/cgi-bin/hgTracks?db=hg19&amp;position=chr19%3A3928009%2D3928009", "chr19:3928009")</f>
        <v>chr19:3928009</v>
      </c>
      <c r="C498" s="0" t="s">
        <v>1348</v>
      </c>
      <c r="D498" s="0" t="n">
        <v>3928009</v>
      </c>
      <c r="E498" s="0" t="n">
        <v>3928009</v>
      </c>
      <c r="F498" s="0" t="s">
        <v>69</v>
      </c>
      <c r="G498" s="0" t="s">
        <v>57</v>
      </c>
      <c r="H498" s="0" t="s">
        <v>2691</v>
      </c>
      <c r="I498" s="0" t="s">
        <v>2064</v>
      </c>
      <c r="J498" s="0" t="s">
        <v>2692</v>
      </c>
      <c r="K498" s="0" t="s">
        <v>46</v>
      </c>
      <c r="L498" s="0" t="s">
        <v>46</v>
      </c>
      <c r="M498" s="0" t="str">
        <f aca="false">HYPERLINK("https://www.genecards.org/Search/Keyword?queryString=%5Baliases%5D(%20ATCAY%20)%20OR%20%5Baliases%5D(%20MIR1268A%20)&amp;keywords=ATCAY,MIR1268A", "ATCAY;MIR1268A")</f>
        <v>ATCAY;MIR1268A</v>
      </c>
      <c r="N498" s="0" t="s">
        <v>86</v>
      </c>
      <c r="O498" s="0" t="s">
        <v>46</v>
      </c>
      <c r="P498" s="0" t="s">
        <v>2693</v>
      </c>
      <c r="Q498" s="0" t="n">
        <v>6.481E-005</v>
      </c>
      <c r="R498" s="0" t="n">
        <v>9.019E-005</v>
      </c>
      <c r="S498" s="0" t="n">
        <v>7.342E-005</v>
      </c>
      <c r="T498" s="0" t="n">
        <v>-1</v>
      </c>
      <c r="U498" s="0" t="n">
        <v>0.0002</v>
      </c>
      <c r="V498" s="0" t="s">
        <v>46</v>
      </c>
      <c r="W498" s="0" t="s">
        <v>46</v>
      </c>
      <c r="X498" s="0" t="s">
        <v>46</v>
      </c>
      <c r="Y498" s="0" t="s">
        <v>46</v>
      </c>
      <c r="Z498" s="0" t="s">
        <v>46</v>
      </c>
      <c r="AA498" s="0" t="s">
        <v>46</v>
      </c>
      <c r="AB498" s="0" t="s">
        <v>46</v>
      </c>
      <c r="AC498" s="0" t="s">
        <v>51</v>
      </c>
      <c r="AD498" s="0" t="s">
        <v>1263</v>
      </c>
      <c r="AE498" s="0" t="s">
        <v>2687</v>
      </c>
      <c r="AF498" s="0" t="s">
        <v>2688</v>
      </c>
      <c r="AG498" s="0" t="s">
        <v>2689</v>
      </c>
      <c r="AH498" s="0" t="s">
        <v>2690</v>
      </c>
      <c r="AI498" s="0" t="s">
        <v>46</v>
      </c>
      <c r="AJ498" s="0" t="s">
        <v>46</v>
      </c>
      <c r="AK498" s="0" t="s">
        <v>46</v>
      </c>
      <c r="AL498" s="0" t="s">
        <v>46</v>
      </c>
    </row>
    <row r="499" customFormat="false" ht="15" hidden="false" customHeight="false" outlineLevel="0" collapsed="false">
      <c r="B499" s="0" t="str">
        <f aca="false">HYPERLINK("https://genome.ucsc.edu/cgi-bin/hgTracks?db=hg19&amp;position=chr19%3A4222821%2D4222821", "chr19:4222821")</f>
        <v>chr19:4222821</v>
      </c>
      <c r="C499" s="0" t="s">
        <v>1348</v>
      </c>
      <c r="D499" s="0" t="n">
        <v>4222821</v>
      </c>
      <c r="E499" s="0" t="n">
        <v>4222821</v>
      </c>
      <c r="F499" s="0" t="s">
        <v>69</v>
      </c>
      <c r="G499" s="0" t="s">
        <v>57</v>
      </c>
      <c r="H499" s="0" t="s">
        <v>1580</v>
      </c>
      <c r="I499" s="0" t="s">
        <v>853</v>
      </c>
      <c r="J499" s="0" t="s">
        <v>2694</v>
      </c>
      <c r="K499" s="0" t="s">
        <v>46</v>
      </c>
      <c r="L499" s="0" t="str">
        <f aca="false">HYPERLINK("https://www.ncbi.nlm.nih.gov/snp/rs145552577", "rs145552577")</f>
        <v>rs145552577</v>
      </c>
      <c r="M499" s="0" t="str">
        <f aca="false">HYPERLINK("https://www.genecards.org/Search/Keyword?queryString=%5Baliases%5D(%20ANKRD24%20)&amp;keywords=ANKRD24", "ANKRD24")</f>
        <v>ANKRD24</v>
      </c>
      <c r="N499" s="0" t="s">
        <v>62</v>
      </c>
      <c r="O499" s="0" t="s">
        <v>46</v>
      </c>
      <c r="P499" s="0" t="s">
        <v>46</v>
      </c>
      <c r="Q499" s="0" t="n">
        <v>0.0176</v>
      </c>
      <c r="R499" s="0" t="n">
        <v>0.0172</v>
      </c>
      <c r="S499" s="0" t="n">
        <v>0.0177</v>
      </c>
      <c r="T499" s="0" t="n">
        <v>-1</v>
      </c>
      <c r="U499" s="0" t="n">
        <v>0.0178</v>
      </c>
      <c r="V499" s="0" t="s">
        <v>46</v>
      </c>
      <c r="W499" s="0" t="s">
        <v>46</v>
      </c>
      <c r="X499" s="0" t="s">
        <v>2255</v>
      </c>
      <c r="Y499" s="0" t="s">
        <v>64</v>
      </c>
      <c r="Z499" s="0" t="s">
        <v>46</v>
      </c>
      <c r="AA499" s="0" t="s">
        <v>46</v>
      </c>
      <c r="AB499" s="0" t="s">
        <v>46</v>
      </c>
      <c r="AC499" s="0" t="s">
        <v>51</v>
      </c>
      <c r="AD499" s="0" t="s">
        <v>52</v>
      </c>
      <c r="AE499" s="0" t="s">
        <v>2695</v>
      </c>
      <c r="AF499" s="0" t="s">
        <v>2696</v>
      </c>
      <c r="AG499" s="0" t="s">
        <v>46</v>
      </c>
      <c r="AH499" s="0" t="s">
        <v>46</v>
      </c>
      <c r="AI499" s="0" t="s">
        <v>46</v>
      </c>
      <c r="AJ499" s="0" t="s">
        <v>46</v>
      </c>
      <c r="AK499" s="0" t="s">
        <v>46</v>
      </c>
      <c r="AL499" s="0" t="s">
        <v>46</v>
      </c>
    </row>
    <row r="500" customFormat="false" ht="15" hidden="false" customHeight="false" outlineLevel="0" collapsed="false">
      <c r="B500" s="0" t="str">
        <f aca="false">HYPERLINK("https://genome.ucsc.edu/cgi-bin/hgTracks?db=hg19&amp;position=chr19%3A9013000%2D9013000", "chr19:9013000")</f>
        <v>chr19:9013000</v>
      </c>
      <c r="C500" s="0" t="s">
        <v>1348</v>
      </c>
      <c r="D500" s="0" t="n">
        <v>9013000</v>
      </c>
      <c r="E500" s="0" t="n">
        <v>9013000</v>
      </c>
      <c r="F500" s="0" t="s">
        <v>57</v>
      </c>
      <c r="G500" s="0" t="s">
        <v>40</v>
      </c>
      <c r="H500" s="0" t="s">
        <v>1102</v>
      </c>
      <c r="I500" s="0" t="s">
        <v>1103</v>
      </c>
      <c r="J500" s="0" t="s">
        <v>1104</v>
      </c>
      <c r="K500" s="0" t="s">
        <v>46</v>
      </c>
      <c r="L500" s="0" t="s">
        <v>46</v>
      </c>
      <c r="M500" s="0" t="str">
        <f aca="false">HYPERLINK("https://www.genecards.org/Search/Keyword?queryString=%5Baliases%5D(%20MUC16%20)&amp;keywords=MUC16", "MUC16")</f>
        <v>MUC16</v>
      </c>
      <c r="N500" s="0" t="s">
        <v>62</v>
      </c>
      <c r="O500" s="0" t="s">
        <v>46</v>
      </c>
      <c r="P500" s="0" t="s">
        <v>46</v>
      </c>
      <c r="Q500" s="0" t="n">
        <v>0.0022</v>
      </c>
      <c r="R500" s="0" t="n">
        <v>-1</v>
      </c>
      <c r="S500" s="0" t="n">
        <v>-1</v>
      </c>
      <c r="T500" s="0" t="n">
        <v>-1</v>
      </c>
      <c r="U500" s="0" t="n">
        <v>-1</v>
      </c>
      <c r="V500" s="0" t="s">
        <v>46</v>
      </c>
      <c r="W500" s="0" t="s">
        <v>46</v>
      </c>
      <c r="X500" s="0" t="s">
        <v>2255</v>
      </c>
      <c r="Y500" s="0" t="s">
        <v>64</v>
      </c>
      <c r="Z500" s="0" t="s">
        <v>46</v>
      </c>
      <c r="AA500" s="0" t="s">
        <v>46</v>
      </c>
      <c r="AB500" s="0" t="s">
        <v>46</v>
      </c>
      <c r="AC500" s="0" t="s">
        <v>51</v>
      </c>
      <c r="AD500" s="0" t="s">
        <v>856</v>
      </c>
      <c r="AE500" s="0" t="s">
        <v>46</v>
      </c>
      <c r="AF500" s="0" t="s">
        <v>1372</v>
      </c>
      <c r="AG500" s="0" t="s">
        <v>1373</v>
      </c>
      <c r="AH500" s="0" t="s">
        <v>46</v>
      </c>
      <c r="AI500" s="0" t="s">
        <v>46</v>
      </c>
      <c r="AJ500" s="0" t="s">
        <v>46</v>
      </c>
      <c r="AK500" s="0" t="s">
        <v>46</v>
      </c>
      <c r="AL500" s="0" t="s">
        <v>46</v>
      </c>
    </row>
    <row r="501" customFormat="false" ht="15" hidden="false" customHeight="false" outlineLevel="0" collapsed="false">
      <c r="B501" s="0" t="str">
        <f aca="false">HYPERLINK("https://genome.ucsc.edu/cgi-bin/hgTracks?db=hg19&amp;position=chr19%3A11132686%2D11132686", "chr19:11132686")</f>
        <v>chr19:11132686</v>
      </c>
      <c r="C501" s="0" t="s">
        <v>1348</v>
      </c>
      <c r="D501" s="0" t="n">
        <v>11132686</v>
      </c>
      <c r="E501" s="0" t="n">
        <v>11132686</v>
      </c>
      <c r="F501" s="0" t="s">
        <v>69</v>
      </c>
      <c r="G501" s="0" t="s">
        <v>57</v>
      </c>
      <c r="H501" s="0" t="s">
        <v>2338</v>
      </c>
      <c r="I501" s="0" t="s">
        <v>924</v>
      </c>
      <c r="J501" s="0" t="s">
        <v>2697</v>
      </c>
      <c r="K501" s="0" t="s">
        <v>46</v>
      </c>
      <c r="L501" s="0" t="str">
        <f aca="false">HYPERLINK("https://www.ncbi.nlm.nih.gov/snp/rs771856804", "rs771856804")</f>
        <v>rs771856804</v>
      </c>
      <c r="M501" s="0" t="str">
        <f aca="false">HYPERLINK("https://www.genecards.org/Search/Keyword?queryString=%5Baliases%5D(%20SMARCA4%20)&amp;keywords=SMARCA4", "SMARCA4")</f>
        <v>SMARCA4</v>
      </c>
      <c r="N501" s="0" t="s">
        <v>62</v>
      </c>
      <c r="O501" s="0" t="s">
        <v>46</v>
      </c>
      <c r="P501" s="0" t="s">
        <v>46</v>
      </c>
      <c r="Q501" s="0" t="n">
        <v>6.47E-005</v>
      </c>
      <c r="R501" s="0" t="n">
        <v>-1</v>
      </c>
      <c r="S501" s="0" t="n">
        <v>-1</v>
      </c>
      <c r="T501" s="0" t="n">
        <v>-1</v>
      </c>
      <c r="U501" s="0" t="n">
        <v>-1</v>
      </c>
      <c r="V501" s="0" t="s">
        <v>46</v>
      </c>
      <c r="W501" s="0" t="s">
        <v>46</v>
      </c>
      <c r="X501" s="0" t="s">
        <v>999</v>
      </c>
      <c r="Y501" s="0" t="s">
        <v>64</v>
      </c>
      <c r="Z501" s="0" t="s">
        <v>46</v>
      </c>
      <c r="AA501" s="0" t="s">
        <v>46</v>
      </c>
      <c r="AB501" s="0" t="s">
        <v>46</v>
      </c>
      <c r="AC501" s="0" t="s">
        <v>51</v>
      </c>
      <c r="AD501" s="0" t="s">
        <v>52</v>
      </c>
      <c r="AE501" s="0" t="s">
        <v>2698</v>
      </c>
      <c r="AF501" s="0" t="s">
        <v>2699</v>
      </c>
      <c r="AG501" s="0" t="s">
        <v>2700</v>
      </c>
      <c r="AH501" s="0" t="s">
        <v>2701</v>
      </c>
      <c r="AI501" s="0" t="s">
        <v>46</v>
      </c>
      <c r="AJ501" s="0" t="s">
        <v>46</v>
      </c>
      <c r="AK501" s="0" t="s">
        <v>46</v>
      </c>
      <c r="AL501" s="0" t="s">
        <v>46</v>
      </c>
    </row>
    <row r="502" customFormat="false" ht="15" hidden="false" customHeight="false" outlineLevel="0" collapsed="false">
      <c r="B502" s="0" t="str">
        <f aca="false">HYPERLINK("https://genome.ucsc.edu/cgi-bin/hgTracks?db=hg19&amp;position=chr19%3A18272019%2D18272019", "chr19:18272019")</f>
        <v>chr19:18272019</v>
      </c>
      <c r="C502" s="0" t="s">
        <v>1348</v>
      </c>
      <c r="D502" s="0" t="n">
        <v>18272019</v>
      </c>
      <c r="E502" s="0" t="n">
        <v>18272019</v>
      </c>
      <c r="F502" s="0" t="s">
        <v>69</v>
      </c>
      <c r="G502" s="0" t="s">
        <v>57</v>
      </c>
      <c r="H502" s="0" t="s">
        <v>2702</v>
      </c>
      <c r="I502" s="0" t="s">
        <v>311</v>
      </c>
      <c r="J502" s="0" t="s">
        <v>2629</v>
      </c>
      <c r="K502" s="0" t="s">
        <v>46</v>
      </c>
      <c r="L502" s="0" t="str">
        <f aca="false">HYPERLINK("https://www.ncbi.nlm.nih.gov/snp/rs183510863", "rs183510863")</f>
        <v>rs183510863</v>
      </c>
      <c r="M502" s="0" t="str">
        <f aca="false">HYPERLINK("https://www.genecards.org/Search/Keyword?queryString=%5Baliases%5D(%20PIK3R2%20)&amp;keywords=PIK3R2", "PIK3R2")</f>
        <v>PIK3R2</v>
      </c>
      <c r="N502" s="0" t="s">
        <v>62</v>
      </c>
      <c r="O502" s="0" t="s">
        <v>46</v>
      </c>
      <c r="P502" s="0" t="s">
        <v>46</v>
      </c>
      <c r="Q502" s="0" t="n">
        <v>0.0051</v>
      </c>
      <c r="R502" s="0" t="n">
        <v>0.005</v>
      </c>
      <c r="S502" s="0" t="n">
        <v>0.0036</v>
      </c>
      <c r="T502" s="0" t="n">
        <v>-1</v>
      </c>
      <c r="U502" s="0" t="n">
        <v>0.0041</v>
      </c>
      <c r="V502" s="0" t="s">
        <v>46</v>
      </c>
      <c r="W502" s="0" t="s">
        <v>46</v>
      </c>
      <c r="X502" s="0" t="s">
        <v>2255</v>
      </c>
      <c r="Y502" s="0" t="s">
        <v>64</v>
      </c>
      <c r="Z502" s="0" t="s">
        <v>46</v>
      </c>
      <c r="AA502" s="0" t="s">
        <v>46</v>
      </c>
      <c r="AB502" s="0" t="s">
        <v>46</v>
      </c>
      <c r="AC502" s="0" t="s">
        <v>51</v>
      </c>
      <c r="AD502" s="0" t="s">
        <v>52</v>
      </c>
      <c r="AE502" s="0" t="s">
        <v>2703</v>
      </c>
      <c r="AF502" s="0" t="s">
        <v>2704</v>
      </c>
      <c r="AG502" s="0" t="s">
        <v>2705</v>
      </c>
      <c r="AH502" s="0" t="s">
        <v>2706</v>
      </c>
      <c r="AI502" s="0" t="s">
        <v>46</v>
      </c>
      <c r="AJ502" s="0" t="s">
        <v>46</v>
      </c>
      <c r="AK502" s="0" t="s">
        <v>46</v>
      </c>
      <c r="AL502" s="0" t="s">
        <v>46</v>
      </c>
    </row>
    <row r="503" customFormat="false" ht="15" hidden="false" customHeight="false" outlineLevel="0" collapsed="false">
      <c r="B503" s="0" t="str">
        <f aca="false">HYPERLINK("https://genome.ucsc.edu/cgi-bin/hgTracks?db=hg19&amp;position=chr19%3A36110435%2D36110435", "chr19:36110435")</f>
        <v>chr19:36110435</v>
      </c>
      <c r="C503" s="0" t="s">
        <v>1348</v>
      </c>
      <c r="D503" s="0" t="n">
        <v>36110435</v>
      </c>
      <c r="E503" s="0" t="n">
        <v>36110435</v>
      </c>
      <c r="F503" s="0" t="s">
        <v>69</v>
      </c>
      <c r="G503" s="0" t="s">
        <v>57</v>
      </c>
      <c r="H503" s="0" t="s">
        <v>2707</v>
      </c>
      <c r="I503" s="0" t="s">
        <v>756</v>
      </c>
      <c r="J503" s="0" t="s">
        <v>2345</v>
      </c>
      <c r="K503" s="0" t="s">
        <v>46</v>
      </c>
      <c r="L503" s="0" t="s">
        <v>46</v>
      </c>
      <c r="M503" s="0" t="str">
        <f aca="false">HYPERLINK("https://www.genecards.org/Search/Keyword?queryString=%5Baliases%5D(%20HAUS5%20)&amp;keywords=HAUS5", "HAUS5")</f>
        <v>HAUS5</v>
      </c>
      <c r="N503" s="0" t="s">
        <v>62</v>
      </c>
      <c r="O503" s="0" t="s">
        <v>46</v>
      </c>
      <c r="P503" s="0" t="s">
        <v>46</v>
      </c>
      <c r="Q503" s="0" t="n">
        <v>-1</v>
      </c>
      <c r="R503" s="0" t="n">
        <v>-1</v>
      </c>
      <c r="S503" s="0" t="n">
        <v>-1</v>
      </c>
      <c r="T503" s="0" t="n">
        <v>-1</v>
      </c>
      <c r="U503" s="0" t="n">
        <v>-1</v>
      </c>
      <c r="V503" s="0" t="s">
        <v>46</v>
      </c>
      <c r="W503" s="0" t="s">
        <v>46</v>
      </c>
      <c r="X503" s="0" t="s">
        <v>999</v>
      </c>
      <c r="Y503" s="0" t="s">
        <v>64</v>
      </c>
      <c r="Z503" s="0" t="s">
        <v>46</v>
      </c>
      <c r="AA503" s="0" t="s">
        <v>46</v>
      </c>
      <c r="AB503" s="0" t="s">
        <v>46</v>
      </c>
      <c r="AC503" s="0" t="s">
        <v>51</v>
      </c>
      <c r="AD503" s="0" t="s">
        <v>52</v>
      </c>
      <c r="AE503" s="0" t="s">
        <v>2708</v>
      </c>
      <c r="AF503" s="0" t="s">
        <v>2709</v>
      </c>
      <c r="AG503" s="0" t="s">
        <v>2710</v>
      </c>
      <c r="AH503" s="0" t="s">
        <v>46</v>
      </c>
      <c r="AI503" s="0" t="s">
        <v>46</v>
      </c>
      <c r="AJ503" s="0" t="s">
        <v>46</v>
      </c>
      <c r="AK503" s="0" t="s">
        <v>46</v>
      </c>
      <c r="AL503" s="0" t="s">
        <v>46</v>
      </c>
    </row>
    <row r="504" customFormat="false" ht="15" hidden="false" customHeight="false" outlineLevel="0" collapsed="false">
      <c r="B504" s="0" t="str">
        <f aca="false">HYPERLINK("https://genome.ucsc.edu/cgi-bin/hgTracks?db=hg19&amp;position=chr19%3A44050156%2D44050156", "chr19:44050156")</f>
        <v>chr19:44050156</v>
      </c>
      <c r="C504" s="0" t="s">
        <v>1348</v>
      </c>
      <c r="D504" s="0" t="n">
        <v>44050156</v>
      </c>
      <c r="E504" s="0" t="n">
        <v>44050156</v>
      </c>
      <c r="F504" s="0" t="s">
        <v>39</v>
      </c>
      <c r="G504" s="0" t="s">
        <v>40</v>
      </c>
      <c r="H504" s="0" t="s">
        <v>1880</v>
      </c>
      <c r="I504" s="0" t="s">
        <v>212</v>
      </c>
      <c r="J504" s="0" t="s">
        <v>2711</v>
      </c>
      <c r="K504" s="0" t="s">
        <v>46</v>
      </c>
      <c r="L504" s="0" t="str">
        <f aca="false">HYPERLINK("https://www.ncbi.nlm.nih.gov/snp/rs25480", "rs25480")</f>
        <v>rs25480</v>
      </c>
      <c r="M504" s="0" t="str">
        <f aca="false">HYPERLINK("https://www.genecards.org/Search/Keyword?queryString=%5Baliases%5D(%20XRCC1%20)&amp;keywords=XRCC1", "XRCC1")</f>
        <v>XRCC1</v>
      </c>
      <c r="N504" s="0" t="s">
        <v>62</v>
      </c>
      <c r="O504" s="0" t="s">
        <v>46</v>
      </c>
      <c r="P504" s="0" t="s">
        <v>46</v>
      </c>
      <c r="Q504" s="0" t="n">
        <v>0.0276</v>
      </c>
      <c r="R504" s="0" t="n">
        <v>0.0232</v>
      </c>
      <c r="S504" s="0" t="n">
        <v>0.0212</v>
      </c>
      <c r="T504" s="0" t="n">
        <v>-1</v>
      </c>
      <c r="U504" s="0" t="n">
        <v>0.0203</v>
      </c>
      <c r="V504" s="0" t="s">
        <v>46</v>
      </c>
      <c r="W504" s="0" t="s">
        <v>46</v>
      </c>
      <c r="X504" s="0" t="s">
        <v>2255</v>
      </c>
      <c r="Y504" s="0" t="s">
        <v>64</v>
      </c>
      <c r="Z504" s="0" t="s">
        <v>46</v>
      </c>
      <c r="AA504" s="0" t="s">
        <v>46</v>
      </c>
      <c r="AB504" s="0" t="s">
        <v>46</v>
      </c>
      <c r="AC504" s="0" t="s">
        <v>51</v>
      </c>
      <c r="AD504" s="0" t="s">
        <v>52</v>
      </c>
      <c r="AE504" s="0" t="s">
        <v>2712</v>
      </c>
      <c r="AF504" s="0" t="s">
        <v>2713</v>
      </c>
      <c r="AG504" s="0" t="s">
        <v>2714</v>
      </c>
      <c r="AH504" s="0" t="s">
        <v>46</v>
      </c>
      <c r="AI504" s="0" t="s">
        <v>46</v>
      </c>
      <c r="AJ504" s="0" t="s">
        <v>46</v>
      </c>
      <c r="AK504" s="0" t="s">
        <v>46</v>
      </c>
      <c r="AL504" s="0" t="s">
        <v>46</v>
      </c>
    </row>
    <row r="505" customFormat="false" ht="15" hidden="false" customHeight="false" outlineLevel="0" collapsed="false">
      <c r="B505" s="0" t="str">
        <f aca="false">HYPERLINK("https://genome.ucsc.edu/cgi-bin/hgTracks?db=hg19&amp;position=chr19%3A47341949%2D47341949", "chr19:47341949")</f>
        <v>chr19:47341949</v>
      </c>
      <c r="C505" s="0" t="s">
        <v>1348</v>
      </c>
      <c r="D505" s="0" t="n">
        <v>47341949</v>
      </c>
      <c r="E505" s="0" t="n">
        <v>47341949</v>
      </c>
      <c r="F505" s="0" t="s">
        <v>39</v>
      </c>
      <c r="G505" s="0" t="s">
        <v>40</v>
      </c>
      <c r="H505" s="0" t="s">
        <v>2715</v>
      </c>
      <c r="I505" s="0" t="s">
        <v>393</v>
      </c>
      <c r="J505" s="0" t="s">
        <v>2716</v>
      </c>
      <c r="K505" s="0" t="s">
        <v>46</v>
      </c>
      <c r="L505" s="0" t="str">
        <f aca="false">HYPERLINK("https://www.ncbi.nlm.nih.gov/snp/rs200237364", "rs200237364")</f>
        <v>rs200237364</v>
      </c>
      <c r="M505" s="0" t="str">
        <f aca="false">HYPERLINK("https://www.genecards.org/Search/Keyword?queryString=%5Baliases%5D(%20AP2S1%20)&amp;keywords=AP2S1", "AP2S1")</f>
        <v>AP2S1</v>
      </c>
      <c r="N505" s="0" t="s">
        <v>62</v>
      </c>
      <c r="O505" s="0" t="s">
        <v>46</v>
      </c>
      <c r="P505" s="0" t="s">
        <v>46</v>
      </c>
      <c r="Q505" s="0" t="n">
        <v>0.021</v>
      </c>
      <c r="R505" s="0" t="n">
        <v>0.0154</v>
      </c>
      <c r="S505" s="0" t="n">
        <v>0.0122</v>
      </c>
      <c r="T505" s="0" t="n">
        <v>-1</v>
      </c>
      <c r="U505" s="0" t="n">
        <v>0.0255</v>
      </c>
      <c r="V505" s="0" t="s">
        <v>46</v>
      </c>
      <c r="W505" s="0" t="s">
        <v>46</v>
      </c>
      <c r="X505" s="0" t="s">
        <v>2255</v>
      </c>
      <c r="Y505" s="0" t="s">
        <v>64</v>
      </c>
      <c r="Z505" s="0" t="s">
        <v>46</v>
      </c>
      <c r="AA505" s="0" t="s">
        <v>46</v>
      </c>
      <c r="AB505" s="0" t="s">
        <v>46</v>
      </c>
      <c r="AC505" s="0" t="s">
        <v>51</v>
      </c>
      <c r="AD505" s="0" t="s">
        <v>52</v>
      </c>
      <c r="AE505" s="0" t="s">
        <v>2717</v>
      </c>
      <c r="AF505" s="0" t="s">
        <v>2718</v>
      </c>
      <c r="AG505" s="0" t="s">
        <v>2719</v>
      </c>
      <c r="AH505" s="0" t="s">
        <v>2720</v>
      </c>
      <c r="AI505" s="0" t="s">
        <v>46</v>
      </c>
      <c r="AJ505" s="0" t="s">
        <v>46</v>
      </c>
      <c r="AK505" s="0" t="s">
        <v>46</v>
      </c>
      <c r="AL505" s="0" t="s">
        <v>609</v>
      </c>
    </row>
    <row r="506" customFormat="false" ht="15" hidden="false" customHeight="false" outlineLevel="0" collapsed="false">
      <c r="B506" s="0" t="str">
        <f aca="false">HYPERLINK("https://genome.ucsc.edu/cgi-bin/hgTracks?db=hg19&amp;position=chr19%3A55286773%2D55286774", "chr19:55286773")</f>
        <v>chr19:55286773</v>
      </c>
      <c r="C506" s="0" t="s">
        <v>1348</v>
      </c>
      <c r="D506" s="0" t="n">
        <v>55286773</v>
      </c>
      <c r="E506" s="0" t="n">
        <v>55286774</v>
      </c>
      <c r="F506" s="0" t="s">
        <v>2429</v>
      </c>
      <c r="G506" s="0" t="s">
        <v>200</v>
      </c>
      <c r="H506" s="0" t="s">
        <v>2721</v>
      </c>
      <c r="I506" s="0" t="s">
        <v>2722</v>
      </c>
      <c r="J506" s="0" t="s">
        <v>2723</v>
      </c>
      <c r="K506" s="0" t="s">
        <v>46</v>
      </c>
      <c r="L506" s="0" t="str">
        <f aca="false">HYPERLINK("https://www.ncbi.nlm.nih.gov/snp/rs767604061", "rs767604061")</f>
        <v>rs767604061</v>
      </c>
      <c r="M506" s="0" t="str">
        <f aca="false">HYPERLINK("https://www.genecards.org/Search/Keyword?queryString=%5Baliases%5D(%20KIR2DL1%20)%20OR%20%5Baliases%5D(%20KIR2DL3%20)%20OR%20%5Baliases%5D(%20LOC112267881%20)&amp;keywords=KIR2DL1,KIR2DL3,LOC112267881", "KIR2DL1;KIR2DL3;LOC112267881")</f>
        <v>KIR2DL1;KIR2DL3;LOC112267881</v>
      </c>
      <c r="N506" s="0" t="s">
        <v>98</v>
      </c>
      <c r="O506" s="0" t="s">
        <v>2265</v>
      </c>
      <c r="P506" s="0" t="s">
        <v>2724</v>
      </c>
      <c r="Q506" s="0" t="n">
        <v>0.0107</v>
      </c>
      <c r="R506" s="0" t="n">
        <v>0.0021</v>
      </c>
      <c r="S506" s="0" t="n">
        <v>0.002</v>
      </c>
      <c r="T506" s="0" t="n">
        <v>-1</v>
      </c>
      <c r="U506" s="0" t="n">
        <v>0.0046</v>
      </c>
      <c r="V506" s="0" t="s">
        <v>46</v>
      </c>
      <c r="W506" s="0" t="s">
        <v>46</v>
      </c>
      <c r="X506" s="0" t="s">
        <v>46</v>
      </c>
      <c r="Y506" s="0" t="s">
        <v>46</v>
      </c>
      <c r="Z506" s="0" t="s">
        <v>46</v>
      </c>
      <c r="AA506" s="0" t="s">
        <v>46</v>
      </c>
      <c r="AB506" s="0" t="s">
        <v>46</v>
      </c>
      <c r="AC506" s="0" t="s">
        <v>51</v>
      </c>
      <c r="AD506" s="0" t="s">
        <v>2725</v>
      </c>
      <c r="AE506" s="0" t="s">
        <v>2726</v>
      </c>
      <c r="AF506" s="0" t="s">
        <v>2727</v>
      </c>
      <c r="AG506" s="0" t="s">
        <v>2728</v>
      </c>
      <c r="AH506" s="0" t="s">
        <v>46</v>
      </c>
      <c r="AI506" s="0" t="s">
        <v>46</v>
      </c>
      <c r="AJ506" s="0" t="s">
        <v>46</v>
      </c>
      <c r="AK506" s="0" t="s">
        <v>46</v>
      </c>
      <c r="AL506" s="0" t="s">
        <v>584</v>
      </c>
    </row>
    <row r="507" customFormat="false" ht="15" hidden="false" customHeight="false" outlineLevel="0" collapsed="false">
      <c r="B507" s="0" t="str">
        <f aca="false">HYPERLINK("https://genome.ucsc.edu/cgi-bin/hgTracks?db=hg19&amp;position=chr19%3A55286775%2D55286775", "chr19:55286775")</f>
        <v>chr19:55286775</v>
      </c>
      <c r="C507" s="0" t="s">
        <v>1348</v>
      </c>
      <c r="D507" s="0" t="n">
        <v>55286775</v>
      </c>
      <c r="E507" s="0" t="n">
        <v>55286775</v>
      </c>
      <c r="F507" s="0" t="s">
        <v>200</v>
      </c>
      <c r="G507" s="0" t="s">
        <v>2729</v>
      </c>
      <c r="H507" s="0" t="s">
        <v>2730</v>
      </c>
      <c r="I507" s="0" t="s">
        <v>2731</v>
      </c>
      <c r="J507" s="0" t="s">
        <v>2732</v>
      </c>
      <c r="K507" s="0" t="s">
        <v>46</v>
      </c>
      <c r="L507" s="0" t="str">
        <f aca="false">HYPERLINK("https://www.ncbi.nlm.nih.gov/snp/rs750502059", "rs750502059")</f>
        <v>rs750502059</v>
      </c>
      <c r="M507" s="0" t="str">
        <f aca="false">HYPERLINK("https://www.genecards.org/Search/Keyword?queryString=%5Baliases%5D(%20KIR2DL1%20)%20OR%20%5Baliases%5D(%20KIR2DL3%20)%20OR%20%5Baliases%5D(%20LOC112267881%20)&amp;keywords=KIR2DL1,KIR2DL3,LOC112267881", "KIR2DL1;KIR2DL3;LOC112267881")</f>
        <v>KIR2DL1;KIR2DL3;LOC112267881</v>
      </c>
      <c r="N507" s="0" t="s">
        <v>98</v>
      </c>
      <c r="O507" s="0" t="s">
        <v>2206</v>
      </c>
      <c r="P507" s="0" t="s">
        <v>2733</v>
      </c>
      <c r="Q507" s="0" t="n">
        <v>0.0106</v>
      </c>
      <c r="R507" s="0" t="n">
        <v>0.0029</v>
      </c>
      <c r="S507" s="0" t="n">
        <v>0.0041</v>
      </c>
      <c r="T507" s="0" t="n">
        <v>-1</v>
      </c>
      <c r="U507" s="0" t="n">
        <v>0.0047</v>
      </c>
      <c r="V507" s="0" t="s">
        <v>46</v>
      </c>
      <c r="W507" s="0" t="s">
        <v>46</v>
      </c>
      <c r="X507" s="0" t="s">
        <v>46</v>
      </c>
      <c r="Y507" s="0" t="s">
        <v>46</v>
      </c>
      <c r="Z507" s="0" t="s">
        <v>46</v>
      </c>
      <c r="AA507" s="0" t="s">
        <v>46</v>
      </c>
      <c r="AB507" s="0" t="s">
        <v>46</v>
      </c>
      <c r="AC507" s="0" t="s">
        <v>51</v>
      </c>
      <c r="AD507" s="0" t="s">
        <v>2725</v>
      </c>
      <c r="AE507" s="0" t="s">
        <v>2726</v>
      </c>
      <c r="AF507" s="0" t="s">
        <v>2727</v>
      </c>
      <c r="AG507" s="0" t="s">
        <v>2728</v>
      </c>
      <c r="AH507" s="0" t="s">
        <v>46</v>
      </c>
      <c r="AI507" s="0" t="s">
        <v>46</v>
      </c>
      <c r="AJ507" s="0" t="s">
        <v>46</v>
      </c>
      <c r="AK507" s="0" t="s">
        <v>46</v>
      </c>
      <c r="AL507" s="0" t="s">
        <v>584</v>
      </c>
    </row>
    <row r="508" customFormat="false" ht="15" hidden="false" customHeight="false" outlineLevel="0" collapsed="false">
      <c r="B508" s="0" t="str">
        <f aca="false">HYPERLINK("https://genome.ucsc.edu/cgi-bin/hgTracks?db=hg19&amp;position=chr19%3A55324674%2D55324674", "chr19:55324674")</f>
        <v>chr19:55324674</v>
      </c>
      <c r="C508" s="0" t="s">
        <v>1348</v>
      </c>
      <c r="D508" s="0" t="n">
        <v>55324674</v>
      </c>
      <c r="E508" s="0" t="n">
        <v>55324674</v>
      </c>
      <c r="F508" s="0" t="s">
        <v>200</v>
      </c>
      <c r="G508" s="0" t="s">
        <v>57</v>
      </c>
      <c r="H508" s="0" t="s">
        <v>2734</v>
      </c>
      <c r="I508" s="0" t="s">
        <v>1219</v>
      </c>
      <c r="J508" s="0" t="s">
        <v>2735</v>
      </c>
      <c r="K508" s="0" t="s">
        <v>46</v>
      </c>
      <c r="L508" s="0" t="str">
        <f aca="false">HYPERLINK("https://www.ncbi.nlm.nih.gov/snp/rs11371265", "rs11371265")</f>
        <v>rs11371265</v>
      </c>
      <c r="M508" s="0" t="str">
        <f aca="false">HYPERLINK("https://www.genecards.org/Search/Keyword?queryString=%5Baliases%5D(%20KIR2DL4%20)%20OR%20%5Baliases%5D(%20LOC100287534%20)%20OR%20%5Baliases%5D(%20LOC112268354%20)&amp;keywords=KIR2DL4,LOC100287534,LOC112268354", "KIR2DL4;LOC100287534;LOC112268354")</f>
        <v>KIR2DL4;LOC100287534;LOC112268354</v>
      </c>
      <c r="N508" s="0" t="s">
        <v>98</v>
      </c>
      <c r="O508" s="0" t="s">
        <v>2206</v>
      </c>
      <c r="P508" s="0" t="s">
        <v>2736</v>
      </c>
      <c r="Q508" s="0" t="n">
        <v>0.0044825</v>
      </c>
      <c r="R508" s="0" t="n">
        <v>-1</v>
      </c>
      <c r="S508" s="0" t="n">
        <v>-1</v>
      </c>
      <c r="T508" s="0" t="n">
        <v>-1</v>
      </c>
      <c r="U508" s="0" t="n">
        <v>-1</v>
      </c>
      <c r="V508" s="0" t="s">
        <v>46</v>
      </c>
      <c r="W508" s="0" t="s">
        <v>46</v>
      </c>
      <c r="X508" s="0" t="s">
        <v>46</v>
      </c>
      <c r="Y508" s="0" t="s">
        <v>46</v>
      </c>
      <c r="Z508" s="0" t="s">
        <v>46</v>
      </c>
      <c r="AA508" s="0" t="s">
        <v>46</v>
      </c>
      <c r="AB508" s="0" t="s">
        <v>46</v>
      </c>
      <c r="AC508" s="0" t="s">
        <v>51</v>
      </c>
      <c r="AD508" s="0" t="s">
        <v>2737</v>
      </c>
      <c r="AE508" s="0" t="s">
        <v>2738</v>
      </c>
      <c r="AF508" s="0" t="s">
        <v>2739</v>
      </c>
      <c r="AG508" s="0" t="s">
        <v>2740</v>
      </c>
      <c r="AH508" s="0" t="s">
        <v>46</v>
      </c>
      <c r="AI508" s="0" t="s">
        <v>46</v>
      </c>
      <c r="AJ508" s="0" t="s">
        <v>46</v>
      </c>
      <c r="AK508" s="0" t="s">
        <v>46</v>
      </c>
      <c r="AL508" s="0" t="s">
        <v>584</v>
      </c>
    </row>
    <row r="509" customFormat="false" ht="15" hidden="false" customHeight="false" outlineLevel="0" collapsed="false">
      <c r="B509" s="0" t="str">
        <f aca="false">HYPERLINK("https://genome.ucsc.edu/cgi-bin/hgTracks?db=hg19&amp;position=chr19%3A56373522%2D56373677", "chr19:56373522")</f>
        <v>chr19:56373522</v>
      </c>
      <c r="C509" s="0" t="s">
        <v>1348</v>
      </c>
      <c r="D509" s="0" t="n">
        <v>56373522</v>
      </c>
      <c r="E509" s="0" t="n">
        <v>56373677</v>
      </c>
      <c r="F509" s="0" t="s">
        <v>2741</v>
      </c>
      <c r="G509" s="0" t="s">
        <v>200</v>
      </c>
      <c r="H509" s="0" t="s">
        <v>2742</v>
      </c>
      <c r="I509" s="0" t="s">
        <v>340</v>
      </c>
      <c r="J509" s="0" t="s">
        <v>2743</v>
      </c>
      <c r="K509" s="0" t="s">
        <v>46</v>
      </c>
      <c r="L509" s="0" t="s">
        <v>46</v>
      </c>
      <c r="M509" s="0" t="str">
        <f aca="false">HYPERLINK("https://www.genecards.org/Search/Keyword?queryString=%5Baliases%5D(%20NLRP4%20)&amp;keywords=NLRP4", "NLRP4")</f>
        <v>NLRP4</v>
      </c>
      <c r="N509" s="0" t="s">
        <v>98</v>
      </c>
      <c r="O509" s="0" t="s">
        <v>2265</v>
      </c>
      <c r="P509" s="0" t="s">
        <v>2744</v>
      </c>
      <c r="Q509" s="0" t="n">
        <v>-1</v>
      </c>
      <c r="R509" s="0" t="n">
        <v>-1</v>
      </c>
      <c r="S509" s="0" t="n">
        <v>-1</v>
      </c>
      <c r="T509" s="0" t="n">
        <v>-1</v>
      </c>
      <c r="U509" s="0" t="n">
        <v>-1</v>
      </c>
      <c r="V509" s="0" t="s">
        <v>46</v>
      </c>
      <c r="W509" s="0" t="s">
        <v>46</v>
      </c>
      <c r="X509" s="0" t="s">
        <v>46</v>
      </c>
      <c r="Y509" s="0" t="s">
        <v>46</v>
      </c>
      <c r="Z509" s="0" t="s">
        <v>46</v>
      </c>
      <c r="AA509" s="0" t="s">
        <v>46</v>
      </c>
      <c r="AB509" s="0" t="s">
        <v>46</v>
      </c>
      <c r="AC509" s="0" t="s">
        <v>51</v>
      </c>
      <c r="AD509" s="0" t="s">
        <v>52</v>
      </c>
      <c r="AE509" s="0" t="s">
        <v>2745</v>
      </c>
      <c r="AF509" s="0" t="s">
        <v>2746</v>
      </c>
      <c r="AG509" s="0" t="s">
        <v>2747</v>
      </c>
      <c r="AH509" s="0" t="s">
        <v>46</v>
      </c>
      <c r="AI509" s="0" t="s">
        <v>802</v>
      </c>
      <c r="AJ509" s="0" t="s">
        <v>46</v>
      </c>
      <c r="AK509" s="0" t="s">
        <v>46</v>
      </c>
      <c r="AL509" s="0" t="s">
        <v>609</v>
      </c>
    </row>
    <row r="510" customFormat="false" ht="15" hidden="false" customHeight="false" outlineLevel="0" collapsed="false">
      <c r="B510" s="0" t="str">
        <f aca="false">HYPERLINK("https://genome.ucsc.edu/cgi-bin/hgTracks?db=hg19&amp;position=chr19%3A56719256%2D56719256", "chr19:56719256")</f>
        <v>chr19:56719256</v>
      </c>
      <c r="C510" s="0" t="s">
        <v>1348</v>
      </c>
      <c r="D510" s="0" t="n">
        <v>56719256</v>
      </c>
      <c r="E510" s="0" t="n">
        <v>56719256</v>
      </c>
      <c r="F510" s="0" t="s">
        <v>69</v>
      </c>
      <c r="G510" s="0" t="s">
        <v>57</v>
      </c>
      <c r="H510" s="0" t="s">
        <v>2748</v>
      </c>
      <c r="I510" s="0" t="s">
        <v>95</v>
      </c>
      <c r="J510" s="0" t="s">
        <v>2160</v>
      </c>
      <c r="K510" s="0" t="s">
        <v>46</v>
      </c>
      <c r="L510" s="0" t="str">
        <f aca="false">HYPERLINK("https://www.ncbi.nlm.nih.gov/snp/rs148866992", "rs148866992")</f>
        <v>rs148866992</v>
      </c>
      <c r="M510" s="0" t="str">
        <f aca="false">HYPERLINK("https://www.genecards.org/Search/Keyword?queryString=%5Baliases%5D(%20ZSCAN5C%20)&amp;keywords=ZSCAN5C", "ZSCAN5C")</f>
        <v>ZSCAN5C</v>
      </c>
      <c r="N510" s="0" t="s">
        <v>2283</v>
      </c>
      <c r="O510" s="0" t="s">
        <v>46</v>
      </c>
      <c r="P510" s="0" t="s">
        <v>2749</v>
      </c>
      <c r="Q510" s="0" t="n">
        <v>0.0091</v>
      </c>
      <c r="R510" s="0" t="n">
        <v>0.0039</v>
      </c>
      <c r="S510" s="0" t="n">
        <v>0.0051</v>
      </c>
      <c r="T510" s="0" t="n">
        <v>-1</v>
      </c>
      <c r="U510" s="0" t="n">
        <v>0.0047</v>
      </c>
      <c r="V510" s="0" t="s">
        <v>46</v>
      </c>
      <c r="W510" s="0" t="s">
        <v>46</v>
      </c>
      <c r="X510" s="0" t="s">
        <v>2255</v>
      </c>
      <c r="Y510" s="0" t="s">
        <v>64</v>
      </c>
      <c r="Z510" s="0" t="s">
        <v>46</v>
      </c>
      <c r="AA510" s="0" t="s">
        <v>46</v>
      </c>
      <c r="AB510" s="0" t="s">
        <v>46</v>
      </c>
      <c r="AC510" s="0" t="s">
        <v>51</v>
      </c>
      <c r="AD510" s="0" t="s">
        <v>52</v>
      </c>
      <c r="AE510" s="0" t="s">
        <v>46</v>
      </c>
      <c r="AF510" s="0" t="s">
        <v>46</v>
      </c>
      <c r="AG510" s="0" t="s">
        <v>46</v>
      </c>
      <c r="AH510" s="0" t="s">
        <v>46</v>
      </c>
      <c r="AI510" s="0" t="s">
        <v>46</v>
      </c>
      <c r="AJ510" s="0" t="s">
        <v>46</v>
      </c>
      <c r="AK510" s="0" t="s">
        <v>46</v>
      </c>
      <c r="AL510" s="0" t="s">
        <v>46</v>
      </c>
    </row>
    <row r="511" customFormat="false" ht="15" hidden="false" customHeight="false" outlineLevel="0" collapsed="false">
      <c r="B511" s="0" t="str">
        <f aca="false">HYPERLINK("https://genome.ucsc.edu/cgi-bin/hgTracks?db=hg19&amp;position=chr2%3A1546503%2D1546503", "chr2:1546503")</f>
        <v>chr2:1546503</v>
      </c>
      <c r="C511" s="0" t="s">
        <v>93</v>
      </c>
      <c r="D511" s="0" t="n">
        <v>1546503</v>
      </c>
      <c r="E511" s="0" t="n">
        <v>1546503</v>
      </c>
      <c r="F511" s="0" t="s">
        <v>57</v>
      </c>
      <c r="G511" s="0" t="s">
        <v>69</v>
      </c>
      <c r="H511" s="0" t="s">
        <v>2750</v>
      </c>
      <c r="I511" s="0" t="s">
        <v>111</v>
      </c>
      <c r="J511" s="0" t="s">
        <v>112</v>
      </c>
      <c r="K511" s="0" t="s">
        <v>46</v>
      </c>
      <c r="L511" s="0" t="s">
        <v>46</v>
      </c>
      <c r="M511" s="0" t="str">
        <f aca="false">HYPERLINK("https://www.genecards.org/Search/Keyword?queryString=%5Baliases%5D(%20TPO%20)&amp;keywords=TPO", "TPO")</f>
        <v>TPO</v>
      </c>
      <c r="N511" s="0" t="s">
        <v>2751</v>
      </c>
      <c r="O511" s="0" t="s">
        <v>46</v>
      </c>
      <c r="P511" s="0" t="s">
        <v>2752</v>
      </c>
      <c r="Q511" s="0" t="n">
        <v>-1</v>
      </c>
      <c r="R511" s="0" t="n">
        <v>-1</v>
      </c>
      <c r="S511" s="0" t="n">
        <v>-1</v>
      </c>
      <c r="T511" s="0" t="n">
        <v>-1</v>
      </c>
      <c r="U511" s="0" t="n">
        <v>-1</v>
      </c>
      <c r="V511" s="0" t="s">
        <v>46</v>
      </c>
      <c r="W511" s="0" t="s">
        <v>46</v>
      </c>
      <c r="X511" s="0" t="s">
        <v>46</v>
      </c>
      <c r="Y511" s="0" t="s">
        <v>46</v>
      </c>
      <c r="Z511" s="0" t="s">
        <v>46</v>
      </c>
      <c r="AA511" s="0" t="s">
        <v>46</v>
      </c>
      <c r="AB511" s="0" t="s">
        <v>46</v>
      </c>
      <c r="AC511" s="0" t="s">
        <v>51</v>
      </c>
      <c r="AD511" s="0" t="s">
        <v>52</v>
      </c>
      <c r="AE511" s="0" t="s">
        <v>2753</v>
      </c>
      <c r="AF511" s="0" t="s">
        <v>2754</v>
      </c>
      <c r="AG511" s="0" t="s">
        <v>2755</v>
      </c>
      <c r="AH511" s="0" t="s">
        <v>2756</v>
      </c>
      <c r="AI511" s="0" t="s">
        <v>46</v>
      </c>
      <c r="AJ511" s="0" t="s">
        <v>46</v>
      </c>
      <c r="AK511" s="0" t="s">
        <v>46</v>
      </c>
      <c r="AL511" s="0" t="s">
        <v>46</v>
      </c>
    </row>
    <row r="512" customFormat="false" ht="15" hidden="false" customHeight="false" outlineLevel="0" collapsed="false">
      <c r="B512" s="0" t="str">
        <f aca="false">HYPERLINK("https://genome.ucsc.edu/cgi-bin/hgTracks?db=hg19&amp;position=chr2%3A32818993%2D32818993", "chr2:32818993")</f>
        <v>chr2:32818993</v>
      </c>
      <c r="C512" s="0" t="s">
        <v>93</v>
      </c>
      <c r="D512" s="0" t="n">
        <v>32818993</v>
      </c>
      <c r="E512" s="0" t="n">
        <v>32818993</v>
      </c>
      <c r="F512" s="0" t="s">
        <v>57</v>
      </c>
      <c r="G512" s="0" t="s">
        <v>200</v>
      </c>
      <c r="H512" s="0" t="s">
        <v>2279</v>
      </c>
      <c r="I512" s="0" t="s">
        <v>111</v>
      </c>
      <c r="J512" s="0" t="s">
        <v>907</v>
      </c>
      <c r="K512" s="0" t="s">
        <v>46</v>
      </c>
      <c r="L512" s="0" t="s">
        <v>46</v>
      </c>
      <c r="M512" s="0" t="str">
        <f aca="false">HYPERLINK("https://www.genecards.org/Search/Keyword?queryString=%5Baliases%5D(%20BIRC6%20)&amp;keywords=BIRC6", "BIRC6")</f>
        <v>BIRC6</v>
      </c>
      <c r="N512" s="0" t="s">
        <v>98</v>
      </c>
      <c r="O512" s="0" t="s">
        <v>2265</v>
      </c>
      <c r="P512" s="0" t="s">
        <v>2757</v>
      </c>
      <c r="Q512" s="0" t="n">
        <v>-1</v>
      </c>
      <c r="R512" s="0" t="n">
        <v>-1</v>
      </c>
      <c r="S512" s="0" t="n">
        <v>-1</v>
      </c>
      <c r="T512" s="0" t="n">
        <v>-1</v>
      </c>
      <c r="U512" s="0" t="n">
        <v>-1</v>
      </c>
      <c r="V512" s="0" t="s">
        <v>46</v>
      </c>
      <c r="W512" s="0" t="s">
        <v>46</v>
      </c>
      <c r="X512" s="0" t="s">
        <v>46</v>
      </c>
      <c r="Y512" s="0" t="s">
        <v>46</v>
      </c>
      <c r="Z512" s="0" t="s">
        <v>46</v>
      </c>
      <c r="AA512" s="0" t="s">
        <v>46</v>
      </c>
      <c r="AB512" s="0" t="s">
        <v>46</v>
      </c>
      <c r="AC512" s="0" t="s">
        <v>51</v>
      </c>
      <c r="AD512" s="0" t="s">
        <v>856</v>
      </c>
      <c r="AE512" s="0" t="s">
        <v>1443</v>
      </c>
      <c r="AF512" s="0" t="s">
        <v>1444</v>
      </c>
      <c r="AG512" s="0" t="s">
        <v>1445</v>
      </c>
      <c r="AH512" s="0" t="s">
        <v>46</v>
      </c>
      <c r="AI512" s="0" t="s">
        <v>46</v>
      </c>
      <c r="AJ512" s="0" t="s">
        <v>46</v>
      </c>
      <c r="AK512" s="0" t="s">
        <v>46</v>
      </c>
      <c r="AL512" s="0" t="s">
        <v>46</v>
      </c>
    </row>
    <row r="513" customFormat="false" ht="15" hidden="false" customHeight="false" outlineLevel="0" collapsed="false">
      <c r="B513" s="0" t="str">
        <f aca="false">HYPERLINK("https://genome.ucsc.edu/cgi-bin/hgTracks?db=hg19&amp;position=chr2%3A71797526%2D71797526", "chr2:71797526")</f>
        <v>chr2:71797526</v>
      </c>
      <c r="C513" s="0" t="s">
        <v>93</v>
      </c>
      <c r="D513" s="0" t="n">
        <v>71797526</v>
      </c>
      <c r="E513" s="0" t="n">
        <v>71797526</v>
      </c>
      <c r="F513" s="0" t="s">
        <v>69</v>
      </c>
      <c r="G513" s="0" t="s">
        <v>57</v>
      </c>
      <c r="H513" s="0" t="s">
        <v>848</v>
      </c>
      <c r="I513" s="0" t="s">
        <v>369</v>
      </c>
      <c r="J513" s="0" t="s">
        <v>2758</v>
      </c>
      <c r="K513" s="0" t="s">
        <v>46</v>
      </c>
      <c r="L513" s="0" t="str">
        <f aca="false">HYPERLINK("https://www.ncbi.nlm.nih.gov/snp/rs151292792", "rs151292792")</f>
        <v>rs151292792</v>
      </c>
      <c r="M513" s="0" t="str">
        <f aca="false">HYPERLINK("https://www.genecards.org/Search/Keyword?queryString=%5Baliases%5D(%20DYSF%20)&amp;keywords=DYSF", "DYSF")</f>
        <v>DYSF</v>
      </c>
      <c r="N513" s="0" t="s">
        <v>62</v>
      </c>
      <c r="O513" s="0" t="s">
        <v>46</v>
      </c>
      <c r="P513" s="0" t="s">
        <v>46</v>
      </c>
      <c r="Q513" s="0" t="n">
        <v>0.0242</v>
      </c>
      <c r="R513" s="0" t="n">
        <v>0.0237</v>
      </c>
      <c r="S513" s="0" t="n">
        <v>0.0231</v>
      </c>
      <c r="T513" s="0" t="n">
        <v>-1</v>
      </c>
      <c r="U513" s="0" t="n">
        <v>0.0208</v>
      </c>
      <c r="V513" s="0" t="s">
        <v>46</v>
      </c>
      <c r="W513" s="0" t="s">
        <v>46</v>
      </c>
      <c r="X513" s="0" t="s">
        <v>2255</v>
      </c>
      <c r="Y513" s="0" t="s">
        <v>64</v>
      </c>
      <c r="Z513" s="0" t="s">
        <v>46</v>
      </c>
      <c r="AA513" s="0" t="s">
        <v>46</v>
      </c>
      <c r="AB513" s="0" t="s">
        <v>46</v>
      </c>
      <c r="AC513" s="0" t="s">
        <v>51</v>
      </c>
      <c r="AD513" s="0" t="s">
        <v>52</v>
      </c>
      <c r="AE513" s="0" t="s">
        <v>2759</v>
      </c>
      <c r="AF513" s="0" t="s">
        <v>2760</v>
      </c>
      <c r="AG513" s="0" t="s">
        <v>2761</v>
      </c>
      <c r="AH513" s="0" t="s">
        <v>2762</v>
      </c>
      <c r="AI513" s="0" t="s">
        <v>46</v>
      </c>
      <c r="AJ513" s="0" t="s">
        <v>46</v>
      </c>
      <c r="AK513" s="0" t="s">
        <v>46</v>
      </c>
      <c r="AL513" s="0" t="s">
        <v>46</v>
      </c>
    </row>
    <row r="514" customFormat="false" ht="15" hidden="false" customHeight="false" outlineLevel="0" collapsed="false">
      <c r="B514" s="0" t="str">
        <f aca="false">HYPERLINK("https://genome.ucsc.edu/cgi-bin/hgTracks?db=hg19&amp;position=chr2%3A85662144%2D85662144", "chr2:85662144")</f>
        <v>chr2:85662144</v>
      </c>
      <c r="C514" s="0" t="s">
        <v>93</v>
      </c>
      <c r="D514" s="0" t="n">
        <v>85662144</v>
      </c>
      <c r="E514" s="0" t="n">
        <v>85662144</v>
      </c>
      <c r="F514" s="0" t="s">
        <v>57</v>
      </c>
      <c r="G514" s="0" t="s">
        <v>200</v>
      </c>
      <c r="H514" s="0" t="s">
        <v>2264</v>
      </c>
      <c r="I514" s="0" t="s">
        <v>413</v>
      </c>
      <c r="J514" s="0" t="s">
        <v>414</v>
      </c>
      <c r="K514" s="0" t="s">
        <v>46</v>
      </c>
      <c r="L514" s="0" t="s">
        <v>46</v>
      </c>
      <c r="M514" s="0" t="str">
        <f aca="false">HYPERLINK("https://www.genecards.org/Search/Keyword?queryString=%5Baliases%5D(%20SH2D6%20)&amp;keywords=SH2D6", "SH2D6")</f>
        <v>SH2D6</v>
      </c>
      <c r="N514" s="0" t="s">
        <v>1888</v>
      </c>
      <c r="O514" s="0" t="s">
        <v>2265</v>
      </c>
      <c r="P514" s="0" t="s">
        <v>2763</v>
      </c>
      <c r="Q514" s="0" t="n">
        <v>-1</v>
      </c>
      <c r="R514" s="0" t="n">
        <v>-1</v>
      </c>
      <c r="S514" s="0" t="n">
        <v>-1</v>
      </c>
      <c r="T514" s="0" t="n">
        <v>-1</v>
      </c>
      <c r="U514" s="0" t="n">
        <v>-1</v>
      </c>
      <c r="V514" s="0" t="s">
        <v>46</v>
      </c>
      <c r="W514" s="0" t="s">
        <v>46</v>
      </c>
      <c r="X514" s="0" t="s">
        <v>46</v>
      </c>
      <c r="Y514" s="0" t="s">
        <v>46</v>
      </c>
      <c r="Z514" s="0" t="s">
        <v>46</v>
      </c>
      <c r="AA514" s="0" t="s">
        <v>46</v>
      </c>
      <c r="AB514" s="0" t="s">
        <v>46</v>
      </c>
      <c r="AC514" s="0" t="s">
        <v>51</v>
      </c>
      <c r="AD514" s="0" t="s">
        <v>52</v>
      </c>
      <c r="AE514" s="0" t="s">
        <v>2764</v>
      </c>
      <c r="AF514" s="0" t="s">
        <v>2765</v>
      </c>
      <c r="AG514" s="0" t="s">
        <v>46</v>
      </c>
      <c r="AH514" s="0" t="s">
        <v>46</v>
      </c>
      <c r="AI514" s="0" t="s">
        <v>46</v>
      </c>
      <c r="AJ514" s="0" t="s">
        <v>46</v>
      </c>
      <c r="AK514" s="0" t="s">
        <v>46</v>
      </c>
      <c r="AL514" s="0" t="s">
        <v>46</v>
      </c>
    </row>
    <row r="515" customFormat="false" ht="15" hidden="false" customHeight="false" outlineLevel="0" collapsed="false">
      <c r="B515" s="0" t="str">
        <f aca="false">HYPERLINK("https://genome.ucsc.edu/cgi-bin/hgTracks?db=hg19&amp;position=chr2%3A96521477%2D96521477", "chr2:96521477")</f>
        <v>chr2:96521477</v>
      </c>
      <c r="C515" s="0" t="s">
        <v>93</v>
      </c>
      <c r="D515" s="0" t="n">
        <v>96521477</v>
      </c>
      <c r="E515" s="0" t="n">
        <v>96521477</v>
      </c>
      <c r="F515" s="0" t="s">
        <v>200</v>
      </c>
      <c r="G515" s="0" t="s">
        <v>69</v>
      </c>
      <c r="H515" s="0" t="s">
        <v>2766</v>
      </c>
      <c r="I515" s="0" t="s">
        <v>1072</v>
      </c>
      <c r="J515" s="0" t="s">
        <v>2541</v>
      </c>
      <c r="K515" s="0" t="s">
        <v>46</v>
      </c>
      <c r="L515" s="0" t="s">
        <v>46</v>
      </c>
      <c r="M515" s="0" t="str">
        <f aca="false">HYPERLINK("https://www.genecards.org/Search/Keyword?queryString=%5Baliases%5D(%20ANKRD36C%20)&amp;keywords=ANKRD36C", "ANKRD36C")</f>
        <v>ANKRD36C</v>
      </c>
      <c r="N515" s="0" t="s">
        <v>1466</v>
      </c>
      <c r="O515" s="0" t="s">
        <v>2206</v>
      </c>
      <c r="P515" s="0" t="s">
        <v>2767</v>
      </c>
      <c r="Q515" s="0" t="n">
        <v>-1</v>
      </c>
      <c r="R515" s="0" t="n">
        <v>-1</v>
      </c>
      <c r="S515" s="0" t="n">
        <v>-1</v>
      </c>
      <c r="T515" s="0" t="n">
        <v>-1</v>
      </c>
      <c r="U515" s="0" t="n">
        <v>-1</v>
      </c>
      <c r="V515" s="0" t="s">
        <v>46</v>
      </c>
      <c r="W515" s="0" t="s">
        <v>46</v>
      </c>
      <c r="X515" s="0" t="s">
        <v>46</v>
      </c>
      <c r="Y515" s="0" t="s">
        <v>46</v>
      </c>
      <c r="Z515" s="0" t="s">
        <v>46</v>
      </c>
      <c r="AA515" s="0" t="s">
        <v>46</v>
      </c>
      <c r="AB515" s="0" t="s">
        <v>46</v>
      </c>
      <c r="AC515" s="0" t="s">
        <v>51</v>
      </c>
      <c r="AD515" s="0" t="s">
        <v>1468</v>
      </c>
      <c r="AE515" s="0" t="s">
        <v>46</v>
      </c>
      <c r="AF515" s="0" t="s">
        <v>1469</v>
      </c>
      <c r="AG515" s="0" t="s">
        <v>46</v>
      </c>
      <c r="AH515" s="0" t="s">
        <v>46</v>
      </c>
      <c r="AI515" s="0" t="s">
        <v>46</v>
      </c>
      <c r="AJ515" s="0" t="s">
        <v>46</v>
      </c>
      <c r="AK515" s="0" t="s">
        <v>46</v>
      </c>
      <c r="AL515" s="0" t="s">
        <v>46</v>
      </c>
    </row>
    <row r="516" customFormat="false" ht="15" hidden="false" customHeight="false" outlineLevel="0" collapsed="false">
      <c r="B516" s="0" t="str">
        <f aca="false">HYPERLINK("https://genome.ucsc.edu/cgi-bin/hgTracks?db=hg19&amp;position=chr2%3A96521479%2D96521479", "chr2:96521479")</f>
        <v>chr2:96521479</v>
      </c>
      <c r="C516" s="0" t="s">
        <v>93</v>
      </c>
      <c r="D516" s="0" t="n">
        <v>96521479</v>
      </c>
      <c r="E516" s="0" t="n">
        <v>96521479</v>
      </c>
      <c r="F516" s="0" t="s">
        <v>200</v>
      </c>
      <c r="G516" s="0" t="s">
        <v>40</v>
      </c>
      <c r="H516" s="0" t="s">
        <v>2766</v>
      </c>
      <c r="I516" s="0" t="s">
        <v>1072</v>
      </c>
      <c r="J516" s="0" t="s">
        <v>2541</v>
      </c>
      <c r="K516" s="0" t="s">
        <v>46</v>
      </c>
      <c r="L516" s="0" t="s">
        <v>46</v>
      </c>
      <c r="M516" s="0" t="str">
        <f aca="false">HYPERLINK("https://www.genecards.org/Search/Keyword?queryString=%5Baliases%5D(%20ANKRD36C%20)&amp;keywords=ANKRD36C", "ANKRD36C")</f>
        <v>ANKRD36C</v>
      </c>
      <c r="N516" s="0" t="s">
        <v>1466</v>
      </c>
      <c r="O516" s="0" t="s">
        <v>2206</v>
      </c>
      <c r="P516" s="0" t="s">
        <v>2768</v>
      </c>
      <c r="Q516" s="0" t="n">
        <v>-1</v>
      </c>
      <c r="R516" s="0" t="n">
        <v>-1</v>
      </c>
      <c r="S516" s="0" t="n">
        <v>-1</v>
      </c>
      <c r="T516" s="0" t="n">
        <v>-1</v>
      </c>
      <c r="U516" s="0" t="n">
        <v>-1</v>
      </c>
      <c r="V516" s="0" t="s">
        <v>46</v>
      </c>
      <c r="W516" s="0" t="s">
        <v>46</v>
      </c>
      <c r="X516" s="0" t="s">
        <v>46</v>
      </c>
      <c r="Y516" s="0" t="s">
        <v>46</v>
      </c>
      <c r="Z516" s="0" t="s">
        <v>46</v>
      </c>
      <c r="AA516" s="0" t="s">
        <v>46</v>
      </c>
      <c r="AB516" s="0" t="s">
        <v>46</v>
      </c>
      <c r="AC516" s="0" t="s">
        <v>51</v>
      </c>
      <c r="AD516" s="0" t="s">
        <v>1468</v>
      </c>
      <c r="AE516" s="0" t="s">
        <v>46</v>
      </c>
      <c r="AF516" s="0" t="s">
        <v>1469</v>
      </c>
      <c r="AG516" s="0" t="s">
        <v>46</v>
      </c>
      <c r="AH516" s="0" t="s">
        <v>46</v>
      </c>
      <c r="AI516" s="0" t="s">
        <v>46</v>
      </c>
      <c r="AJ516" s="0" t="s">
        <v>46</v>
      </c>
      <c r="AK516" s="0" t="s">
        <v>46</v>
      </c>
      <c r="AL516" s="0" t="s">
        <v>46</v>
      </c>
    </row>
    <row r="517" customFormat="false" ht="15" hidden="false" customHeight="false" outlineLevel="0" collapsed="false">
      <c r="B517" s="0" t="str">
        <f aca="false">HYPERLINK("https://genome.ucsc.edu/cgi-bin/hgTracks?db=hg19&amp;position=chr2%3A96521483%2D96521484", "chr2:96521483")</f>
        <v>chr2:96521483</v>
      </c>
      <c r="C517" s="0" t="s">
        <v>93</v>
      </c>
      <c r="D517" s="0" t="n">
        <v>96521483</v>
      </c>
      <c r="E517" s="0" t="n">
        <v>96521484</v>
      </c>
      <c r="F517" s="0" t="s">
        <v>2685</v>
      </c>
      <c r="G517" s="0" t="s">
        <v>200</v>
      </c>
      <c r="H517" s="0" t="s">
        <v>2769</v>
      </c>
      <c r="I517" s="0" t="s">
        <v>133</v>
      </c>
      <c r="J517" s="0" t="s">
        <v>2770</v>
      </c>
      <c r="K517" s="0" t="s">
        <v>46</v>
      </c>
      <c r="L517" s="0" t="s">
        <v>46</v>
      </c>
      <c r="M517" s="0" t="str">
        <f aca="false">HYPERLINK("https://www.genecards.org/Search/Keyword?queryString=%5Baliases%5D(%20ANKRD36C%20)&amp;keywords=ANKRD36C", "ANKRD36C")</f>
        <v>ANKRD36C</v>
      </c>
      <c r="N517" s="0" t="s">
        <v>1466</v>
      </c>
      <c r="O517" s="0" t="s">
        <v>2265</v>
      </c>
      <c r="P517" s="0" t="s">
        <v>2771</v>
      </c>
      <c r="Q517" s="0" t="n">
        <v>-1</v>
      </c>
      <c r="R517" s="0" t="n">
        <v>-1</v>
      </c>
      <c r="S517" s="0" t="n">
        <v>-1</v>
      </c>
      <c r="T517" s="0" t="n">
        <v>-1</v>
      </c>
      <c r="U517" s="0" t="n">
        <v>-1</v>
      </c>
      <c r="V517" s="0" t="s">
        <v>46</v>
      </c>
      <c r="W517" s="0" t="s">
        <v>46</v>
      </c>
      <c r="X517" s="0" t="s">
        <v>46</v>
      </c>
      <c r="Y517" s="0" t="s">
        <v>46</v>
      </c>
      <c r="Z517" s="0" t="s">
        <v>46</v>
      </c>
      <c r="AA517" s="0" t="s">
        <v>46</v>
      </c>
      <c r="AB517" s="0" t="s">
        <v>46</v>
      </c>
      <c r="AC517" s="0" t="s">
        <v>51</v>
      </c>
      <c r="AD517" s="0" t="s">
        <v>1468</v>
      </c>
      <c r="AE517" s="0" t="s">
        <v>46</v>
      </c>
      <c r="AF517" s="0" t="s">
        <v>1469</v>
      </c>
      <c r="AG517" s="0" t="s">
        <v>46</v>
      </c>
      <c r="AH517" s="0" t="s">
        <v>46</v>
      </c>
      <c r="AI517" s="0" t="s">
        <v>46</v>
      </c>
      <c r="AJ517" s="0" t="s">
        <v>46</v>
      </c>
      <c r="AK517" s="0" t="s">
        <v>46</v>
      </c>
      <c r="AL517" s="0" t="s">
        <v>46</v>
      </c>
    </row>
    <row r="518" customFormat="false" ht="15" hidden="false" customHeight="false" outlineLevel="0" collapsed="false">
      <c r="B518" s="0" t="str">
        <f aca="false">HYPERLINK("https://genome.ucsc.edu/cgi-bin/hgTracks?db=hg19&amp;position=chr2%3A113976197%2D113976197", "chr2:113976197")</f>
        <v>chr2:113976197</v>
      </c>
      <c r="C518" s="0" t="s">
        <v>93</v>
      </c>
      <c r="D518" s="0" t="n">
        <v>113976197</v>
      </c>
      <c r="E518" s="0" t="n">
        <v>113976197</v>
      </c>
      <c r="F518" s="0" t="s">
        <v>200</v>
      </c>
      <c r="G518" s="0" t="s">
        <v>57</v>
      </c>
      <c r="H518" s="0" t="s">
        <v>2772</v>
      </c>
      <c r="I518" s="0" t="s">
        <v>756</v>
      </c>
      <c r="J518" s="0" t="s">
        <v>757</v>
      </c>
      <c r="K518" s="0" t="s">
        <v>46</v>
      </c>
      <c r="L518" s="0" t="str">
        <f aca="false">HYPERLINK("https://www.ncbi.nlm.nih.gov/snp/rs757684328", "rs757684328")</f>
        <v>rs757684328</v>
      </c>
      <c r="M518" s="0" t="str">
        <f aca="false">HYPERLINK("https://www.genecards.org/Search/Keyword?queryString=%5Baliases%5D(%20PAX8%20)&amp;keywords=PAX8", "PAX8")</f>
        <v>PAX8</v>
      </c>
      <c r="N518" s="0" t="s">
        <v>2213</v>
      </c>
      <c r="O518" s="0" t="s">
        <v>46</v>
      </c>
      <c r="P518" s="0" t="s">
        <v>46</v>
      </c>
      <c r="Q518" s="0" t="n">
        <v>0.0083</v>
      </c>
      <c r="R518" s="0" t="n">
        <v>-1</v>
      </c>
      <c r="S518" s="0" t="n">
        <v>-1</v>
      </c>
      <c r="T518" s="0" t="n">
        <v>-1</v>
      </c>
      <c r="U518" s="0" t="n">
        <v>-1</v>
      </c>
      <c r="V518" s="0" t="s">
        <v>46</v>
      </c>
      <c r="W518" s="0" t="s">
        <v>46</v>
      </c>
      <c r="X518" s="0" t="s">
        <v>46</v>
      </c>
      <c r="Y518" s="0" t="s">
        <v>46</v>
      </c>
      <c r="Z518" s="0" t="s">
        <v>46</v>
      </c>
      <c r="AA518" s="0" t="s">
        <v>46</v>
      </c>
      <c r="AB518" s="0" t="s">
        <v>46</v>
      </c>
      <c r="AC518" s="0" t="s">
        <v>51</v>
      </c>
      <c r="AD518" s="0" t="s">
        <v>856</v>
      </c>
      <c r="AE518" s="0" t="s">
        <v>2773</v>
      </c>
      <c r="AF518" s="0" t="s">
        <v>2774</v>
      </c>
      <c r="AG518" s="0" t="s">
        <v>2775</v>
      </c>
      <c r="AH518" s="0" t="s">
        <v>2776</v>
      </c>
      <c r="AI518" s="0" t="s">
        <v>46</v>
      </c>
      <c r="AJ518" s="0" t="s">
        <v>46</v>
      </c>
      <c r="AK518" s="0" t="s">
        <v>46</v>
      </c>
      <c r="AL518" s="0" t="s">
        <v>46</v>
      </c>
    </row>
    <row r="519" customFormat="false" ht="15" hidden="false" customHeight="false" outlineLevel="0" collapsed="false">
      <c r="B519" s="0" t="str">
        <f aca="false">HYPERLINK("https://genome.ucsc.edu/cgi-bin/hgTracks?db=hg19&amp;position=chr2%3A114004578%2D114004579", "chr2:114004578")</f>
        <v>chr2:114004578</v>
      </c>
      <c r="C519" s="0" t="s">
        <v>93</v>
      </c>
      <c r="D519" s="0" t="n">
        <v>114004578</v>
      </c>
      <c r="E519" s="0" t="n">
        <v>114004579</v>
      </c>
      <c r="F519" s="0" t="s">
        <v>2777</v>
      </c>
      <c r="G519" s="0" t="s">
        <v>200</v>
      </c>
      <c r="H519" s="0" t="s">
        <v>2778</v>
      </c>
      <c r="I519" s="0" t="s">
        <v>400</v>
      </c>
      <c r="J519" s="0" t="s">
        <v>2779</v>
      </c>
      <c r="K519" s="0" t="s">
        <v>46</v>
      </c>
      <c r="L519" s="0" t="str">
        <f aca="false">HYPERLINK("https://www.ncbi.nlm.nih.gov/snp/rs150122920", "rs150122920")</f>
        <v>rs150122920</v>
      </c>
      <c r="M519" s="0" t="str">
        <f aca="false">HYPERLINK("https://www.genecards.org/Search/Keyword?queryString=%5Baliases%5D(%20LOC654433%20)%20OR%20%5Baliases%5D(%20PAX8%20)%20OR%20%5Baliases%5D(%20PAX8-AS1%20)&amp;keywords=LOC654433,PAX8,PAX8-AS1", "LOC654433;PAX8;PAX8-AS1")</f>
        <v>LOC654433;PAX8;PAX8-AS1</v>
      </c>
      <c r="N519" s="0" t="s">
        <v>2213</v>
      </c>
      <c r="O519" s="0" t="s">
        <v>46</v>
      </c>
      <c r="P519" s="0" t="s">
        <v>46</v>
      </c>
      <c r="Q519" s="0" t="n">
        <v>0.028783</v>
      </c>
      <c r="R519" s="0" t="n">
        <v>-1</v>
      </c>
      <c r="S519" s="0" t="n">
        <v>-1</v>
      </c>
      <c r="T519" s="0" t="n">
        <v>-1</v>
      </c>
      <c r="U519" s="0" t="n">
        <v>-1</v>
      </c>
      <c r="V519" s="0" t="s">
        <v>46</v>
      </c>
      <c r="W519" s="0" t="s">
        <v>46</v>
      </c>
      <c r="X519" s="0" t="s">
        <v>46</v>
      </c>
      <c r="Y519" s="0" t="s">
        <v>46</v>
      </c>
      <c r="Z519" s="0" t="s">
        <v>46</v>
      </c>
      <c r="AA519" s="0" t="s">
        <v>46</v>
      </c>
      <c r="AB519" s="0" t="s">
        <v>46</v>
      </c>
      <c r="AC519" s="0" t="s">
        <v>51</v>
      </c>
      <c r="AD519" s="0" t="s">
        <v>2780</v>
      </c>
      <c r="AE519" s="0" t="s">
        <v>2773</v>
      </c>
      <c r="AF519" s="0" t="s">
        <v>2781</v>
      </c>
      <c r="AG519" s="0" t="s">
        <v>2775</v>
      </c>
      <c r="AH519" s="0" t="s">
        <v>2776</v>
      </c>
      <c r="AI519" s="0" t="s">
        <v>46</v>
      </c>
      <c r="AJ519" s="0" t="s">
        <v>46</v>
      </c>
      <c r="AK519" s="0" t="s">
        <v>46</v>
      </c>
      <c r="AL519" s="0" t="s">
        <v>46</v>
      </c>
    </row>
    <row r="520" customFormat="false" ht="15" hidden="false" customHeight="false" outlineLevel="0" collapsed="false">
      <c r="B520" s="0" t="str">
        <f aca="false">HYPERLINK("https://genome.ucsc.edu/cgi-bin/hgTracks?db=hg19&amp;position=chr2%3A149633390%2D149633396", "chr2:149633390")</f>
        <v>chr2:149633390</v>
      </c>
      <c r="C520" s="0" t="s">
        <v>93</v>
      </c>
      <c r="D520" s="0" t="n">
        <v>149633390</v>
      </c>
      <c r="E520" s="0" t="n">
        <v>149633396</v>
      </c>
      <c r="F520" s="0" t="s">
        <v>2782</v>
      </c>
      <c r="G520" s="0" t="s">
        <v>200</v>
      </c>
      <c r="H520" s="0" t="s">
        <v>2783</v>
      </c>
      <c r="I520" s="0" t="s">
        <v>618</v>
      </c>
      <c r="J520" s="0" t="s">
        <v>2784</v>
      </c>
      <c r="K520" s="0" t="s">
        <v>46</v>
      </c>
      <c r="L520" s="0" t="s">
        <v>46</v>
      </c>
      <c r="M520" s="0" t="str">
        <f aca="false">HYPERLINK("https://www.genecards.org/Search/Keyword?queryString=%5Baliases%5D(%20KIF5C%20)&amp;keywords=KIF5C", "KIF5C")</f>
        <v>KIF5C</v>
      </c>
      <c r="N520" s="0" t="s">
        <v>2213</v>
      </c>
      <c r="O520" s="0" t="s">
        <v>46</v>
      </c>
      <c r="P520" s="0" t="s">
        <v>46</v>
      </c>
      <c r="Q520" s="0" t="n">
        <v>-1</v>
      </c>
      <c r="R520" s="0" t="n">
        <v>-1</v>
      </c>
      <c r="S520" s="0" t="n">
        <v>-1</v>
      </c>
      <c r="T520" s="0" t="n">
        <v>-1</v>
      </c>
      <c r="U520" s="0" t="n">
        <v>-1</v>
      </c>
      <c r="V520" s="0" t="s">
        <v>46</v>
      </c>
      <c r="W520" s="0" t="s">
        <v>46</v>
      </c>
      <c r="X520" s="0" t="s">
        <v>46</v>
      </c>
      <c r="Y520" s="0" t="s">
        <v>46</v>
      </c>
      <c r="Z520" s="0" t="s">
        <v>46</v>
      </c>
      <c r="AA520" s="0" t="s">
        <v>46</v>
      </c>
      <c r="AB520" s="0" t="s">
        <v>46</v>
      </c>
      <c r="AC520" s="0" t="s">
        <v>51</v>
      </c>
      <c r="AD520" s="0" t="s">
        <v>52</v>
      </c>
      <c r="AE520" s="0" t="s">
        <v>2785</v>
      </c>
      <c r="AF520" s="0" t="s">
        <v>2786</v>
      </c>
      <c r="AG520" s="0" t="s">
        <v>2787</v>
      </c>
      <c r="AH520" s="0" t="s">
        <v>2788</v>
      </c>
      <c r="AI520" s="0" t="s">
        <v>46</v>
      </c>
      <c r="AJ520" s="0" t="s">
        <v>46</v>
      </c>
      <c r="AK520" s="0" t="s">
        <v>46</v>
      </c>
      <c r="AL520" s="0" t="s">
        <v>46</v>
      </c>
    </row>
    <row r="521" customFormat="false" ht="15" hidden="false" customHeight="false" outlineLevel="0" collapsed="false">
      <c r="B521" s="0" t="str">
        <f aca="false">HYPERLINK("https://genome.ucsc.edu/cgi-bin/hgTracks?db=hg19&amp;position=chr2%3A209108254%2D209108254", "chr2:209108254")</f>
        <v>chr2:209108254</v>
      </c>
      <c r="C521" s="0" t="s">
        <v>93</v>
      </c>
      <c r="D521" s="0" t="n">
        <v>209108254</v>
      </c>
      <c r="E521" s="0" t="n">
        <v>209108254</v>
      </c>
      <c r="F521" s="0" t="s">
        <v>40</v>
      </c>
      <c r="G521" s="0" t="s">
        <v>200</v>
      </c>
      <c r="H521" s="0" t="s">
        <v>2789</v>
      </c>
      <c r="I521" s="0" t="s">
        <v>559</v>
      </c>
      <c r="J521" s="0" t="s">
        <v>560</v>
      </c>
      <c r="K521" s="0" t="s">
        <v>46</v>
      </c>
      <c r="L521" s="0" t="s">
        <v>46</v>
      </c>
      <c r="M521" s="0" t="str">
        <f aca="false">HYPERLINK("https://www.genecards.org/Search/Keyword?queryString=%5Baliases%5D(%20IDH1%20)&amp;keywords=IDH1", "IDH1")</f>
        <v>IDH1</v>
      </c>
      <c r="N521" s="0" t="s">
        <v>98</v>
      </c>
      <c r="O521" s="0" t="s">
        <v>2265</v>
      </c>
      <c r="P521" s="0" t="s">
        <v>2790</v>
      </c>
      <c r="Q521" s="0" t="n">
        <v>-1</v>
      </c>
      <c r="R521" s="0" t="n">
        <v>-1</v>
      </c>
      <c r="S521" s="0" t="n">
        <v>-1</v>
      </c>
      <c r="T521" s="0" t="n">
        <v>-1</v>
      </c>
      <c r="U521" s="0" t="n">
        <v>-1</v>
      </c>
      <c r="V521" s="0" t="s">
        <v>46</v>
      </c>
      <c r="W521" s="0" t="s">
        <v>46</v>
      </c>
      <c r="X521" s="0" t="s">
        <v>46</v>
      </c>
      <c r="Y521" s="0" t="s">
        <v>46</v>
      </c>
      <c r="Z521" s="0" t="s">
        <v>46</v>
      </c>
      <c r="AA521" s="0" t="s">
        <v>46</v>
      </c>
      <c r="AB521" s="0" t="s">
        <v>46</v>
      </c>
      <c r="AC521" s="0" t="s">
        <v>51</v>
      </c>
      <c r="AD521" s="0" t="s">
        <v>52</v>
      </c>
      <c r="AE521" s="0" t="s">
        <v>2791</v>
      </c>
      <c r="AF521" s="0" t="s">
        <v>2792</v>
      </c>
      <c r="AG521" s="0" t="s">
        <v>46</v>
      </c>
      <c r="AH521" s="0" t="s">
        <v>2793</v>
      </c>
      <c r="AI521" s="0" t="s">
        <v>46</v>
      </c>
      <c r="AJ521" s="0" t="s">
        <v>46</v>
      </c>
      <c r="AK521" s="0" t="s">
        <v>46</v>
      </c>
      <c r="AL521" s="0" t="s">
        <v>46</v>
      </c>
    </row>
    <row r="522" customFormat="false" ht="15" hidden="false" customHeight="false" outlineLevel="0" collapsed="false">
      <c r="B522" s="0" t="str">
        <f aca="false">HYPERLINK("https://genome.ucsc.edu/cgi-bin/hgTracks?db=hg19&amp;position=chr2%3A218568732%2D218568732", "chr2:218568732")</f>
        <v>chr2:218568732</v>
      </c>
      <c r="C522" s="0" t="s">
        <v>93</v>
      </c>
      <c r="D522" s="0" t="n">
        <v>218568732</v>
      </c>
      <c r="E522" s="0" t="n">
        <v>218568732</v>
      </c>
      <c r="F522" s="0" t="s">
        <v>39</v>
      </c>
      <c r="G522" s="0" t="s">
        <v>69</v>
      </c>
      <c r="H522" s="0" t="s">
        <v>1207</v>
      </c>
      <c r="I522" s="0" t="s">
        <v>689</v>
      </c>
      <c r="J522" s="0" t="s">
        <v>2794</v>
      </c>
      <c r="K522" s="0" t="s">
        <v>46</v>
      </c>
      <c r="L522" s="0" t="str">
        <f aca="false">HYPERLINK("https://www.ncbi.nlm.nih.gov/snp/rs74564314", "rs74564314")</f>
        <v>rs74564314</v>
      </c>
      <c r="M522" s="0" t="str">
        <f aca="false">HYPERLINK("https://www.genecards.org/Search/Keyword?queryString=%5Baliases%5D(%20DIRC3%20)&amp;keywords=DIRC3", "DIRC3")</f>
        <v>DIRC3</v>
      </c>
      <c r="N522" s="0" t="s">
        <v>2795</v>
      </c>
      <c r="O522" s="0" t="s">
        <v>46</v>
      </c>
      <c r="P522" s="0" t="s">
        <v>46</v>
      </c>
      <c r="Q522" s="0" t="n">
        <v>0.0193</v>
      </c>
      <c r="R522" s="0" t="n">
        <v>0.0146</v>
      </c>
      <c r="S522" s="0" t="n">
        <v>0.0163</v>
      </c>
      <c r="T522" s="0" t="n">
        <v>-1</v>
      </c>
      <c r="U522" s="0" t="n">
        <v>0.0122</v>
      </c>
      <c r="V522" s="0" t="s">
        <v>1866</v>
      </c>
      <c r="W522" s="0" t="s">
        <v>46</v>
      </c>
      <c r="X522" s="0" t="s">
        <v>46</v>
      </c>
      <c r="Y522" s="0" t="s">
        <v>46</v>
      </c>
      <c r="Z522" s="0" t="s">
        <v>159</v>
      </c>
      <c r="AA522" s="0" t="s">
        <v>46</v>
      </c>
      <c r="AB522" s="0" t="s">
        <v>46</v>
      </c>
      <c r="AC522" s="0" t="s">
        <v>51</v>
      </c>
      <c r="AD522" s="0" t="s">
        <v>52</v>
      </c>
      <c r="AE522" s="0" t="s">
        <v>46</v>
      </c>
      <c r="AF522" s="0" t="s">
        <v>2796</v>
      </c>
      <c r="AG522" s="0" t="s">
        <v>46</v>
      </c>
      <c r="AH522" s="0" t="s">
        <v>46</v>
      </c>
      <c r="AI522" s="0" t="s">
        <v>46</v>
      </c>
      <c r="AJ522" s="0" t="s">
        <v>46</v>
      </c>
      <c r="AK522" s="0" t="s">
        <v>46</v>
      </c>
      <c r="AL522" s="0" t="s">
        <v>46</v>
      </c>
    </row>
    <row r="523" customFormat="false" ht="15" hidden="false" customHeight="false" outlineLevel="0" collapsed="false">
      <c r="B523" s="0" t="str">
        <f aca="false">HYPERLINK("https://genome.ucsc.edu/cgi-bin/hgTracks?db=hg19&amp;position=chr20%3A13867045%2D13867045", "chr20:13867045")</f>
        <v>chr20:13867045</v>
      </c>
      <c r="C523" s="0" t="s">
        <v>188</v>
      </c>
      <c r="D523" s="0" t="n">
        <v>13867045</v>
      </c>
      <c r="E523" s="0" t="n">
        <v>13867045</v>
      </c>
      <c r="F523" s="0" t="s">
        <v>40</v>
      </c>
      <c r="G523" s="0" t="s">
        <v>200</v>
      </c>
      <c r="H523" s="0" t="s">
        <v>2772</v>
      </c>
      <c r="I523" s="0" t="s">
        <v>434</v>
      </c>
      <c r="J523" s="0" t="s">
        <v>1336</v>
      </c>
      <c r="K523" s="0" t="s">
        <v>46</v>
      </c>
      <c r="L523" s="0" t="s">
        <v>46</v>
      </c>
      <c r="M523" s="0" t="str">
        <f aca="false">HYPERLINK("https://www.genecards.org/Search/Keyword?queryString=%5Baliases%5D(%20SEL1L2%20)&amp;keywords=SEL1L2", "SEL1L2")</f>
        <v>SEL1L2</v>
      </c>
      <c r="N523" s="0" t="s">
        <v>98</v>
      </c>
      <c r="O523" s="0" t="s">
        <v>371</v>
      </c>
      <c r="P523" s="0" t="s">
        <v>2797</v>
      </c>
      <c r="Q523" s="0" t="n">
        <v>-1</v>
      </c>
      <c r="R523" s="0" t="n">
        <v>-1</v>
      </c>
      <c r="S523" s="0" t="n">
        <v>-1</v>
      </c>
      <c r="T523" s="0" t="n">
        <v>-1</v>
      </c>
      <c r="U523" s="0" t="n">
        <v>-1</v>
      </c>
      <c r="V523" s="0" t="s">
        <v>46</v>
      </c>
      <c r="W523" s="0" t="s">
        <v>46</v>
      </c>
      <c r="X523" s="0" t="s">
        <v>46</v>
      </c>
      <c r="Y523" s="0" t="s">
        <v>46</v>
      </c>
      <c r="Z523" s="0" t="s">
        <v>46</v>
      </c>
      <c r="AA523" s="0" t="s">
        <v>46</v>
      </c>
      <c r="AB523" s="0" t="s">
        <v>46</v>
      </c>
      <c r="AC523" s="0" t="s">
        <v>51</v>
      </c>
      <c r="AD523" s="0" t="s">
        <v>52</v>
      </c>
      <c r="AE523" s="0" t="s">
        <v>2798</v>
      </c>
      <c r="AF523" s="0" t="s">
        <v>2799</v>
      </c>
      <c r="AG523" s="0" t="s">
        <v>46</v>
      </c>
      <c r="AH523" s="0" t="s">
        <v>46</v>
      </c>
      <c r="AI523" s="0" t="s">
        <v>46</v>
      </c>
      <c r="AJ523" s="0" t="s">
        <v>46</v>
      </c>
      <c r="AK523" s="0" t="s">
        <v>46</v>
      </c>
      <c r="AL523" s="0" t="s">
        <v>46</v>
      </c>
    </row>
    <row r="524" customFormat="false" ht="15" hidden="false" customHeight="false" outlineLevel="0" collapsed="false">
      <c r="B524" s="0" t="str">
        <f aca="false">HYPERLINK("https://genome.ucsc.edu/cgi-bin/hgTracks?db=hg19&amp;position=chr20%3A31590388%2D31590388", "chr20:31590388")</f>
        <v>chr20:31590388</v>
      </c>
      <c r="C524" s="0" t="s">
        <v>188</v>
      </c>
      <c r="D524" s="0" t="n">
        <v>31590388</v>
      </c>
      <c r="E524" s="0" t="n">
        <v>31590388</v>
      </c>
      <c r="F524" s="0" t="s">
        <v>39</v>
      </c>
      <c r="G524" s="0" t="s">
        <v>40</v>
      </c>
      <c r="H524" s="0" t="s">
        <v>2800</v>
      </c>
      <c r="I524" s="0" t="s">
        <v>486</v>
      </c>
      <c r="J524" s="0" t="s">
        <v>2801</v>
      </c>
      <c r="K524" s="0" t="s">
        <v>46</v>
      </c>
      <c r="L524" s="0" t="str">
        <f aca="false">HYPERLINK("https://www.ncbi.nlm.nih.gov/snp/rs149206379", "rs149206379")</f>
        <v>rs149206379</v>
      </c>
      <c r="M524" s="0" t="str">
        <f aca="false">HYPERLINK("https://www.genecards.org/Search/Keyword?queryString=%5Baliases%5D(%20SUN5%20)&amp;keywords=SUN5", "SUN5")</f>
        <v>SUN5</v>
      </c>
      <c r="N524" s="0" t="s">
        <v>62</v>
      </c>
      <c r="O524" s="0" t="s">
        <v>46</v>
      </c>
      <c r="P524" s="0" t="s">
        <v>46</v>
      </c>
      <c r="Q524" s="0" t="n">
        <v>0.0298</v>
      </c>
      <c r="R524" s="0" t="n">
        <v>0.0327</v>
      </c>
      <c r="S524" s="0" t="n">
        <v>0.0298</v>
      </c>
      <c r="T524" s="0" t="n">
        <v>-1</v>
      </c>
      <c r="U524" s="0" t="n">
        <v>0.0406</v>
      </c>
      <c r="V524" s="0" t="s">
        <v>46</v>
      </c>
      <c r="W524" s="0" t="s">
        <v>999</v>
      </c>
      <c r="X524" s="0" t="s">
        <v>999</v>
      </c>
      <c r="Y524" s="0" t="s">
        <v>2214</v>
      </c>
      <c r="Z524" s="0" t="s">
        <v>46</v>
      </c>
      <c r="AA524" s="0" t="s">
        <v>46</v>
      </c>
      <c r="AB524" s="0" t="s">
        <v>46</v>
      </c>
      <c r="AC524" s="0" t="s">
        <v>51</v>
      </c>
      <c r="AD524" s="0" t="s">
        <v>52</v>
      </c>
      <c r="AE524" s="0" t="s">
        <v>2802</v>
      </c>
      <c r="AF524" s="0" t="s">
        <v>2803</v>
      </c>
      <c r="AG524" s="0" t="s">
        <v>46</v>
      </c>
      <c r="AH524" s="0" t="s">
        <v>46</v>
      </c>
      <c r="AI524" s="0" t="s">
        <v>46</v>
      </c>
      <c r="AJ524" s="0" t="s">
        <v>46</v>
      </c>
      <c r="AK524" s="0" t="s">
        <v>46</v>
      </c>
      <c r="AL524" s="0" t="s">
        <v>46</v>
      </c>
    </row>
    <row r="525" customFormat="false" ht="15" hidden="false" customHeight="false" outlineLevel="0" collapsed="false">
      <c r="B525" s="0" t="str">
        <f aca="false">HYPERLINK("https://genome.ucsc.edu/cgi-bin/hgTracks?db=hg19&amp;position=chr20%3A36979437%2D36979437", "chr20:36979437")</f>
        <v>chr20:36979437</v>
      </c>
      <c r="C525" s="0" t="s">
        <v>188</v>
      </c>
      <c r="D525" s="0" t="n">
        <v>36979437</v>
      </c>
      <c r="E525" s="0" t="n">
        <v>36979437</v>
      </c>
      <c r="F525" s="0" t="s">
        <v>39</v>
      </c>
      <c r="G525" s="0" t="s">
        <v>40</v>
      </c>
      <c r="H525" s="0" t="s">
        <v>2804</v>
      </c>
      <c r="I525" s="0" t="s">
        <v>400</v>
      </c>
      <c r="J525" s="0" t="s">
        <v>2805</v>
      </c>
      <c r="K525" s="0" t="s">
        <v>46</v>
      </c>
      <c r="L525" s="0" t="s">
        <v>46</v>
      </c>
      <c r="M525" s="0" t="str">
        <f aca="false">HYPERLINK("https://www.genecards.org/Search/Keyword?queryString=%5Baliases%5D(%20LBP%20)&amp;keywords=LBP", "LBP")</f>
        <v>LBP</v>
      </c>
      <c r="N525" s="0" t="s">
        <v>62</v>
      </c>
      <c r="O525" s="0" t="s">
        <v>46</v>
      </c>
      <c r="P525" s="0" t="s">
        <v>46</v>
      </c>
      <c r="Q525" s="0" t="n">
        <v>0.0005</v>
      </c>
      <c r="R525" s="0" t="n">
        <v>0.0007</v>
      </c>
      <c r="S525" s="0" t="n">
        <v>0.0006</v>
      </c>
      <c r="T525" s="0" t="n">
        <v>-1</v>
      </c>
      <c r="U525" s="0" t="n">
        <v>0.0015</v>
      </c>
      <c r="V525" s="0" t="s">
        <v>46</v>
      </c>
      <c r="W525" s="0" t="s">
        <v>46</v>
      </c>
      <c r="X525" s="0" t="s">
        <v>2255</v>
      </c>
      <c r="Y525" s="0" t="s">
        <v>64</v>
      </c>
      <c r="Z525" s="0" t="s">
        <v>46</v>
      </c>
      <c r="AA525" s="0" t="s">
        <v>46</v>
      </c>
      <c r="AB525" s="0" t="s">
        <v>46</v>
      </c>
      <c r="AC525" s="0" t="s">
        <v>51</v>
      </c>
      <c r="AD525" s="0" t="s">
        <v>52</v>
      </c>
      <c r="AE525" s="0" t="s">
        <v>2806</v>
      </c>
      <c r="AF525" s="0" t="s">
        <v>2807</v>
      </c>
      <c r="AG525" s="0" t="s">
        <v>2808</v>
      </c>
      <c r="AH525" s="0" t="s">
        <v>46</v>
      </c>
      <c r="AI525" s="0" t="s">
        <v>46</v>
      </c>
      <c r="AJ525" s="0" t="s">
        <v>46</v>
      </c>
      <c r="AK525" s="0" t="s">
        <v>46</v>
      </c>
      <c r="AL525" s="0" t="s">
        <v>46</v>
      </c>
    </row>
    <row r="526" customFormat="false" ht="15" hidden="false" customHeight="false" outlineLevel="0" collapsed="false">
      <c r="B526" s="0" t="str">
        <f aca="false">HYPERLINK("https://genome.ucsc.edu/cgi-bin/hgTracks?db=hg19&amp;position=chr20%3A40086107%2D40086107", "chr20:40086107")</f>
        <v>chr20:40086107</v>
      </c>
      <c r="C526" s="0" t="s">
        <v>188</v>
      </c>
      <c r="D526" s="0" t="n">
        <v>40086107</v>
      </c>
      <c r="E526" s="0" t="n">
        <v>40086107</v>
      </c>
      <c r="F526" s="0" t="s">
        <v>40</v>
      </c>
      <c r="G526" s="0" t="s">
        <v>39</v>
      </c>
      <c r="H526" s="0" t="s">
        <v>2809</v>
      </c>
      <c r="I526" s="0" t="s">
        <v>263</v>
      </c>
      <c r="J526" s="0" t="s">
        <v>2810</v>
      </c>
      <c r="K526" s="0" t="s">
        <v>46</v>
      </c>
      <c r="L526" s="0" t="str">
        <f aca="false">HYPERLINK("https://www.ncbi.nlm.nih.gov/snp/rs1048537346", "rs1048537346")</f>
        <v>rs1048537346</v>
      </c>
      <c r="M526" s="0" t="str">
        <f aca="false">HYPERLINK("https://www.genecards.org/Search/Keyword?queryString=%5Baliases%5D(%20CHD6%20)&amp;keywords=CHD6", "CHD6")</f>
        <v>CHD6</v>
      </c>
      <c r="N526" s="0" t="s">
        <v>62</v>
      </c>
      <c r="O526" s="0" t="s">
        <v>46</v>
      </c>
      <c r="P526" s="0" t="s">
        <v>46</v>
      </c>
      <c r="Q526" s="0" t="n">
        <v>-1</v>
      </c>
      <c r="R526" s="0" t="n">
        <v>-1</v>
      </c>
      <c r="S526" s="0" t="n">
        <v>-1</v>
      </c>
      <c r="T526" s="0" t="n">
        <v>-1</v>
      </c>
      <c r="U526" s="0" t="n">
        <v>-1</v>
      </c>
      <c r="V526" s="0" t="s">
        <v>46</v>
      </c>
      <c r="W526" s="0" t="s">
        <v>46</v>
      </c>
      <c r="X526" s="0" t="s">
        <v>2255</v>
      </c>
      <c r="Y526" s="0" t="s">
        <v>64</v>
      </c>
      <c r="Z526" s="0" t="s">
        <v>46</v>
      </c>
      <c r="AA526" s="0" t="s">
        <v>46</v>
      </c>
      <c r="AB526" s="0" t="s">
        <v>46</v>
      </c>
      <c r="AC526" s="0" t="s">
        <v>51</v>
      </c>
      <c r="AD526" s="0" t="s">
        <v>856</v>
      </c>
      <c r="AE526" s="0" t="s">
        <v>1561</v>
      </c>
      <c r="AF526" s="0" t="s">
        <v>1562</v>
      </c>
      <c r="AG526" s="0" t="s">
        <v>1563</v>
      </c>
      <c r="AH526" s="0" t="s">
        <v>46</v>
      </c>
      <c r="AI526" s="0" t="s">
        <v>46</v>
      </c>
      <c r="AJ526" s="0" t="s">
        <v>46</v>
      </c>
      <c r="AK526" s="0" t="s">
        <v>46</v>
      </c>
      <c r="AL526" s="0" t="s">
        <v>46</v>
      </c>
    </row>
    <row r="527" customFormat="false" ht="15" hidden="false" customHeight="false" outlineLevel="0" collapsed="false">
      <c r="B527" s="0" t="str">
        <f aca="false">HYPERLINK("https://genome.ucsc.edu/cgi-bin/hgTracks?db=hg19&amp;position=chr20%3A44644709%2D44644709", "chr20:44644709")</f>
        <v>chr20:44644709</v>
      </c>
      <c r="C527" s="0" t="s">
        <v>188</v>
      </c>
      <c r="D527" s="0" t="n">
        <v>44644709</v>
      </c>
      <c r="E527" s="0" t="n">
        <v>44644709</v>
      </c>
      <c r="F527" s="0" t="s">
        <v>69</v>
      </c>
      <c r="G527" s="0" t="s">
        <v>57</v>
      </c>
      <c r="H527" s="0" t="s">
        <v>2811</v>
      </c>
      <c r="I527" s="0" t="s">
        <v>559</v>
      </c>
      <c r="J527" s="0" t="s">
        <v>1012</v>
      </c>
      <c r="K527" s="0" t="s">
        <v>46</v>
      </c>
      <c r="L527" s="0" t="str">
        <f aca="false">HYPERLINK("https://www.ncbi.nlm.nih.gov/snp/rs3918282", "rs3918282")</f>
        <v>rs3918282</v>
      </c>
      <c r="M527" s="0" t="str">
        <f aca="false">HYPERLINK("https://www.genecards.org/Search/Keyword?queryString=%5Baliases%5D(%20MMP9%20)%20OR%20%5Baliases%5D(%20SLC12A5-AS1%20)&amp;keywords=MMP9,SLC12A5-AS1", "MMP9;SLC12A5-AS1")</f>
        <v>MMP9;SLC12A5-AS1</v>
      </c>
      <c r="N527" s="0" t="s">
        <v>2213</v>
      </c>
      <c r="O527" s="0" t="s">
        <v>46</v>
      </c>
      <c r="P527" s="0" t="s">
        <v>46</v>
      </c>
      <c r="Q527" s="0" t="n">
        <v>0.00940219</v>
      </c>
      <c r="R527" s="0" t="n">
        <v>0.009</v>
      </c>
      <c r="S527" s="0" t="n">
        <v>0.0087</v>
      </c>
      <c r="T527" s="0" t="n">
        <v>-1</v>
      </c>
      <c r="U527" s="0" t="n">
        <v>0.0081</v>
      </c>
      <c r="V527" s="0" t="s">
        <v>46</v>
      </c>
      <c r="W527" s="0" t="s">
        <v>46</v>
      </c>
      <c r="X527" s="0" t="s">
        <v>46</v>
      </c>
      <c r="Y527" s="0" t="s">
        <v>46</v>
      </c>
      <c r="Z527" s="0" t="s">
        <v>46</v>
      </c>
      <c r="AA527" s="0" t="s">
        <v>46</v>
      </c>
      <c r="AB527" s="0" t="s">
        <v>46</v>
      </c>
      <c r="AC527" s="0" t="s">
        <v>51</v>
      </c>
      <c r="AD527" s="0" t="s">
        <v>437</v>
      </c>
      <c r="AE527" s="0" t="s">
        <v>2812</v>
      </c>
      <c r="AF527" s="0" t="s">
        <v>2813</v>
      </c>
      <c r="AG527" s="0" t="s">
        <v>2814</v>
      </c>
      <c r="AH527" s="0" t="s">
        <v>2815</v>
      </c>
      <c r="AI527" s="0" t="s">
        <v>46</v>
      </c>
      <c r="AJ527" s="0" t="s">
        <v>46</v>
      </c>
      <c r="AK527" s="0" t="s">
        <v>46</v>
      </c>
      <c r="AL527" s="0" t="s">
        <v>46</v>
      </c>
    </row>
    <row r="528" customFormat="false" ht="15" hidden="false" customHeight="false" outlineLevel="0" collapsed="false">
      <c r="B528" s="0" t="str">
        <f aca="false">HYPERLINK("https://genome.ucsc.edu/cgi-bin/hgTracks?db=hg19&amp;position=chr20%3A47570058%2D47570058", "chr20:47570058")</f>
        <v>chr20:47570058</v>
      </c>
      <c r="C528" s="0" t="s">
        <v>188</v>
      </c>
      <c r="D528" s="0" t="n">
        <v>47570058</v>
      </c>
      <c r="E528" s="0" t="n">
        <v>47570058</v>
      </c>
      <c r="F528" s="0" t="s">
        <v>39</v>
      </c>
      <c r="G528" s="0" t="s">
        <v>69</v>
      </c>
      <c r="H528" s="0" t="s">
        <v>2816</v>
      </c>
      <c r="I528" s="0" t="s">
        <v>1090</v>
      </c>
      <c r="J528" s="0" t="s">
        <v>2817</v>
      </c>
      <c r="K528" s="0" t="s">
        <v>46</v>
      </c>
      <c r="L528" s="0" t="str">
        <f aca="false">HYPERLINK("https://www.ncbi.nlm.nih.gov/snp/rs76400436", "rs76400436")</f>
        <v>rs76400436</v>
      </c>
      <c r="M528" s="0" t="str">
        <f aca="false">HYPERLINK("https://www.genecards.org/Search/Keyword?queryString=%5Baliases%5D(%20ARFGEF2%20)&amp;keywords=ARFGEF2", "ARFGEF2")</f>
        <v>ARFGEF2</v>
      </c>
      <c r="N528" s="0" t="s">
        <v>62</v>
      </c>
      <c r="O528" s="0" t="s">
        <v>46</v>
      </c>
      <c r="P528" s="0" t="s">
        <v>46</v>
      </c>
      <c r="Q528" s="0" t="n">
        <v>0.0209</v>
      </c>
      <c r="R528" s="0" t="n">
        <v>0.0142</v>
      </c>
      <c r="S528" s="0" t="n">
        <v>0.0153</v>
      </c>
      <c r="T528" s="0" t="n">
        <v>-1</v>
      </c>
      <c r="U528" s="0" t="n">
        <v>0.0163</v>
      </c>
      <c r="V528" s="0" t="s">
        <v>46</v>
      </c>
      <c r="W528" s="0" t="s">
        <v>46</v>
      </c>
      <c r="X528" s="0" t="s">
        <v>999</v>
      </c>
      <c r="Y528" s="0" t="s">
        <v>64</v>
      </c>
      <c r="Z528" s="0" t="s">
        <v>46</v>
      </c>
      <c r="AA528" s="0" t="s">
        <v>46</v>
      </c>
      <c r="AB528" s="0" t="s">
        <v>46</v>
      </c>
      <c r="AC528" s="0" t="s">
        <v>51</v>
      </c>
      <c r="AD528" s="0" t="s">
        <v>52</v>
      </c>
      <c r="AE528" s="0" t="s">
        <v>2818</v>
      </c>
      <c r="AF528" s="0" t="s">
        <v>2819</v>
      </c>
      <c r="AG528" s="0" t="s">
        <v>2820</v>
      </c>
      <c r="AH528" s="0" t="s">
        <v>2821</v>
      </c>
      <c r="AI528" s="0" t="s">
        <v>46</v>
      </c>
      <c r="AJ528" s="0" t="s">
        <v>46</v>
      </c>
      <c r="AK528" s="0" t="s">
        <v>46</v>
      </c>
      <c r="AL528" s="0" t="s">
        <v>46</v>
      </c>
    </row>
    <row r="529" customFormat="false" ht="15" hidden="false" customHeight="false" outlineLevel="0" collapsed="false">
      <c r="B529" s="0" t="str">
        <f aca="false">HYPERLINK("https://genome.ucsc.edu/cgi-bin/hgTracks?db=hg19&amp;position=chr20%3A48467300%2D48467300", "chr20:48467300")</f>
        <v>chr20:48467300</v>
      </c>
      <c r="C529" s="0" t="s">
        <v>188</v>
      </c>
      <c r="D529" s="0" t="n">
        <v>48467300</v>
      </c>
      <c r="E529" s="0" t="n">
        <v>48467300</v>
      </c>
      <c r="F529" s="0" t="s">
        <v>200</v>
      </c>
      <c r="G529" s="0" t="s">
        <v>40</v>
      </c>
      <c r="H529" s="0" t="s">
        <v>2822</v>
      </c>
      <c r="I529" s="0" t="s">
        <v>369</v>
      </c>
      <c r="J529" s="0" t="s">
        <v>2823</v>
      </c>
      <c r="K529" s="0" t="s">
        <v>46</v>
      </c>
      <c r="L529" s="0" t="str">
        <f aca="false">HYPERLINK("https://www.ncbi.nlm.nih.gov/snp/rs765368828", "rs765368828")</f>
        <v>rs765368828</v>
      </c>
      <c r="M529" s="0" t="str">
        <f aca="false">HYPERLINK("https://www.genecards.org/Search/Keyword?queryString=%5Baliases%5D(%20SLC9A8%20)&amp;keywords=SLC9A8", "SLC9A8")</f>
        <v>SLC9A8</v>
      </c>
      <c r="N529" s="0" t="s">
        <v>98</v>
      </c>
      <c r="O529" s="0" t="s">
        <v>2206</v>
      </c>
      <c r="P529" s="0" t="s">
        <v>2824</v>
      </c>
      <c r="Q529" s="0" t="n">
        <v>0.0244</v>
      </c>
      <c r="R529" s="0" t="n">
        <v>0.0015</v>
      </c>
      <c r="S529" s="0" t="n">
        <v>0.0009</v>
      </c>
      <c r="T529" s="0" t="n">
        <v>-1</v>
      </c>
      <c r="U529" s="0" t="n">
        <v>0.0016</v>
      </c>
      <c r="V529" s="0" t="s">
        <v>46</v>
      </c>
      <c r="W529" s="0" t="s">
        <v>46</v>
      </c>
      <c r="X529" s="0" t="s">
        <v>46</v>
      </c>
      <c r="Y529" s="0" t="s">
        <v>46</v>
      </c>
      <c r="Z529" s="0" t="s">
        <v>46</v>
      </c>
      <c r="AA529" s="0" t="s">
        <v>46</v>
      </c>
      <c r="AB529" s="0" t="s">
        <v>46</v>
      </c>
      <c r="AC529" s="0" t="s">
        <v>51</v>
      </c>
      <c r="AD529" s="0" t="s">
        <v>52</v>
      </c>
      <c r="AE529" s="0" t="s">
        <v>2825</v>
      </c>
      <c r="AF529" s="0" t="s">
        <v>2826</v>
      </c>
      <c r="AG529" s="0" t="s">
        <v>2827</v>
      </c>
      <c r="AH529" s="0" t="s">
        <v>46</v>
      </c>
      <c r="AI529" s="0" t="s">
        <v>301</v>
      </c>
      <c r="AJ529" s="0" t="s">
        <v>46</v>
      </c>
      <c r="AK529" s="0" t="s">
        <v>46</v>
      </c>
      <c r="AL529" s="0" t="s">
        <v>46</v>
      </c>
    </row>
    <row r="530" customFormat="false" ht="15" hidden="false" customHeight="false" outlineLevel="0" collapsed="false">
      <c r="B530" s="0" t="str">
        <f aca="false">HYPERLINK("https://genome.ucsc.edu/cgi-bin/hgTracks?db=hg19&amp;position=chr20%3A55913235%2D55913235", "chr20:55913235")</f>
        <v>chr20:55913235</v>
      </c>
      <c r="C530" s="0" t="s">
        <v>188</v>
      </c>
      <c r="D530" s="0" t="n">
        <v>55913235</v>
      </c>
      <c r="E530" s="0" t="n">
        <v>55913235</v>
      </c>
      <c r="F530" s="0" t="s">
        <v>39</v>
      </c>
      <c r="G530" s="0" t="s">
        <v>69</v>
      </c>
      <c r="H530" s="0" t="s">
        <v>2828</v>
      </c>
      <c r="I530" s="0" t="s">
        <v>413</v>
      </c>
      <c r="J530" s="0" t="s">
        <v>2292</v>
      </c>
      <c r="K530" s="0" t="s">
        <v>46</v>
      </c>
      <c r="L530" s="0" t="str">
        <f aca="false">HYPERLINK("https://www.ncbi.nlm.nih.gov/snp/rs145784599", "rs145784599")</f>
        <v>rs145784599</v>
      </c>
      <c r="M530" s="0" t="str">
        <f aca="false">HYPERLINK("https://www.genecards.org/Search/Keyword?queryString=%5Baliases%5D(%20MIR5095%20)%20OR%20%5Baliases%5D(%20SPO11%20)&amp;keywords=MIR5095,SPO11", "MIR5095;SPO11")</f>
        <v>MIR5095;SPO11</v>
      </c>
      <c r="N530" s="0" t="s">
        <v>1261</v>
      </c>
      <c r="O530" s="0" t="s">
        <v>46</v>
      </c>
      <c r="P530" s="0" t="s">
        <v>46</v>
      </c>
      <c r="Q530" s="0" t="n">
        <v>0.0227</v>
      </c>
      <c r="R530" s="0" t="n">
        <v>0.0123</v>
      </c>
      <c r="S530" s="0" t="n">
        <v>0.0121</v>
      </c>
      <c r="T530" s="0" t="n">
        <v>-1</v>
      </c>
      <c r="U530" s="0" t="n">
        <v>0.0132</v>
      </c>
      <c r="V530" s="0" t="s">
        <v>46</v>
      </c>
      <c r="W530" s="0" t="s">
        <v>46</v>
      </c>
      <c r="X530" s="0" t="s">
        <v>2255</v>
      </c>
      <c r="Y530" s="0" t="s">
        <v>64</v>
      </c>
      <c r="Z530" s="0" t="s">
        <v>46</v>
      </c>
      <c r="AA530" s="0" t="s">
        <v>46</v>
      </c>
      <c r="AB530" s="0" t="s">
        <v>46</v>
      </c>
      <c r="AC530" s="0" t="s">
        <v>51</v>
      </c>
      <c r="AD530" s="0" t="s">
        <v>437</v>
      </c>
      <c r="AE530" s="0" t="s">
        <v>2829</v>
      </c>
      <c r="AF530" s="0" t="s">
        <v>2830</v>
      </c>
      <c r="AG530" s="0" t="s">
        <v>2831</v>
      </c>
      <c r="AH530" s="0" t="s">
        <v>46</v>
      </c>
      <c r="AI530" s="0" t="s">
        <v>46</v>
      </c>
      <c r="AJ530" s="0" t="s">
        <v>46</v>
      </c>
      <c r="AK530" s="0" t="s">
        <v>46</v>
      </c>
      <c r="AL530" s="0" t="s">
        <v>46</v>
      </c>
    </row>
    <row r="531" customFormat="false" ht="15" hidden="false" customHeight="false" outlineLevel="0" collapsed="false">
      <c r="B531" s="0" t="str">
        <f aca="false">HYPERLINK("https://genome.ucsc.edu/cgi-bin/hgTracks?db=hg19&amp;position=chr21%3A14743754%2D14743754", "chr21:14743754")</f>
        <v>chr21:14743754</v>
      </c>
      <c r="C531" s="0" t="s">
        <v>1585</v>
      </c>
      <c r="D531" s="0" t="n">
        <v>14743754</v>
      </c>
      <c r="E531" s="0" t="n">
        <v>14743754</v>
      </c>
      <c r="F531" s="0" t="s">
        <v>39</v>
      </c>
      <c r="G531" s="0" t="s">
        <v>40</v>
      </c>
      <c r="H531" s="0" t="s">
        <v>2832</v>
      </c>
      <c r="I531" s="0" t="s">
        <v>427</v>
      </c>
      <c r="J531" s="0" t="s">
        <v>649</v>
      </c>
      <c r="K531" s="0" t="s">
        <v>46</v>
      </c>
      <c r="L531" s="0" t="str">
        <f aca="false">HYPERLINK("https://www.ncbi.nlm.nih.gov/snp/rs74734987", "rs74734987")</f>
        <v>rs74734987</v>
      </c>
      <c r="M531" s="0" t="s">
        <v>46</v>
      </c>
      <c r="N531" s="0" t="s">
        <v>2833</v>
      </c>
      <c r="O531" s="0" t="s">
        <v>46</v>
      </c>
      <c r="P531" s="0" t="s">
        <v>2834</v>
      </c>
      <c r="Q531" s="0" t="n">
        <v>7.307E-005</v>
      </c>
      <c r="R531" s="0" t="n">
        <v>9.188E-005</v>
      </c>
      <c r="S531" s="0" t="n">
        <v>7.467E-005</v>
      </c>
      <c r="T531" s="0" t="n">
        <v>-1</v>
      </c>
      <c r="U531" s="0" t="n">
        <v>0.0002</v>
      </c>
      <c r="V531" s="0" t="s">
        <v>46</v>
      </c>
      <c r="W531" s="0" t="s">
        <v>46</v>
      </c>
      <c r="X531" s="0" t="s">
        <v>2255</v>
      </c>
      <c r="Y531" s="0" t="s">
        <v>2214</v>
      </c>
      <c r="Z531" s="0" t="s">
        <v>46</v>
      </c>
      <c r="AA531" s="0" t="s">
        <v>46</v>
      </c>
      <c r="AB531" s="0" t="s">
        <v>46</v>
      </c>
      <c r="AC531" s="0" t="s">
        <v>51</v>
      </c>
      <c r="AD531" s="0" t="s">
        <v>856</v>
      </c>
      <c r="AE531" s="0" t="s">
        <v>46</v>
      </c>
      <c r="AF531" s="0" t="s">
        <v>46</v>
      </c>
      <c r="AG531" s="0" t="s">
        <v>46</v>
      </c>
      <c r="AH531" s="0" t="s">
        <v>46</v>
      </c>
      <c r="AI531" s="0" t="s">
        <v>46</v>
      </c>
      <c r="AJ531" s="0" t="s">
        <v>46</v>
      </c>
      <c r="AK531" s="0" t="s">
        <v>46</v>
      </c>
      <c r="AL531" s="0" t="s">
        <v>46</v>
      </c>
    </row>
    <row r="532" customFormat="false" ht="15" hidden="false" customHeight="false" outlineLevel="0" collapsed="false">
      <c r="B532" s="0" t="str">
        <f aca="false">HYPERLINK("https://genome.ucsc.edu/cgi-bin/hgTracks?db=hg19&amp;position=chr21%3A14743800%2D14743800", "chr21:14743800")</f>
        <v>chr21:14743800</v>
      </c>
      <c r="C532" s="0" t="s">
        <v>1585</v>
      </c>
      <c r="D532" s="0" t="n">
        <v>14743800</v>
      </c>
      <c r="E532" s="0" t="n">
        <v>14743800</v>
      </c>
      <c r="F532" s="0" t="s">
        <v>57</v>
      </c>
      <c r="G532" s="0" t="s">
        <v>40</v>
      </c>
      <c r="H532" s="0" t="s">
        <v>2835</v>
      </c>
      <c r="I532" s="0" t="s">
        <v>393</v>
      </c>
      <c r="J532" s="0" t="s">
        <v>2836</v>
      </c>
      <c r="K532" s="0" t="s">
        <v>46</v>
      </c>
      <c r="L532" s="0" t="str">
        <f aca="false">HYPERLINK("https://www.ncbi.nlm.nih.gov/snp/rs796634144", "rs796634144")</f>
        <v>rs796634144</v>
      </c>
      <c r="M532" s="0" t="s">
        <v>46</v>
      </c>
      <c r="N532" s="0" t="s">
        <v>2283</v>
      </c>
      <c r="O532" s="0" t="s">
        <v>46</v>
      </c>
      <c r="P532" s="0" t="s">
        <v>2837</v>
      </c>
      <c r="Q532" s="0" t="n">
        <v>0.0001</v>
      </c>
      <c r="R532" s="0" t="n">
        <v>0.0001</v>
      </c>
      <c r="S532" s="0" t="n">
        <v>-1</v>
      </c>
      <c r="T532" s="0" t="n">
        <v>-1</v>
      </c>
      <c r="U532" s="0" t="n">
        <v>-1</v>
      </c>
      <c r="V532" s="0" t="s">
        <v>46</v>
      </c>
      <c r="W532" s="0" t="s">
        <v>46</v>
      </c>
      <c r="X532" s="0" t="s">
        <v>2255</v>
      </c>
      <c r="Y532" s="0" t="s">
        <v>64</v>
      </c>
      <c r="Z532" s="0" t="s">
        <v>46</v>
      </c>
      <c r="AA532" s="0" t="s">
        <v>46</v>
      </c>
      <c r="AB532" s="0" t="s">
        <v>46</v>
      </c>
      <c r="AC532" s="0" t="s">
        <v>51</v>
      </c>
      <c r="AD532" s="0" t="s">
        <v>856</v>
      </c>
      <c r="AE532" s="0" t="s">
        <v>46</v>
      </c>
      <c r="AF532" s="0" t="s">
        <v>46</v>
      </c>
      <c r="AG532" s="0" t="s">
        <v>46</v>
      </c>
      <c r="AH532" s="0" t="s">
        <v>46</v>
      </c>
      <c r="AI532" s="0" t="s">
        <v>802</v>
      </c>
      <c r="AJ532" s="0" t="s">
        <v>46</v>
      </c>
      <c r="AK532" s="0" t="s">
        <v>46</v>
      </c>
      <c r="AL532" s="0" t="s">
        <v>46</v>
      </c>
    </row>
    <row r="533" customFormat="false" ht="15" hidden="false" customHeight="false" outlineLevel="0" collapsed="false">
      <c r="B533" s="0" t="str">
        <f aca="false">HYPERLINK("https://genome.ucsc.edu/cgi-bin/hgTracks?db=hg19&amp;position=chr21%3A44589920%2D44589920", "chr21:44589920")</f>
        <v>chr21:44589920</v>
      </c>
      <c r="C533" s="0" t="s">
        <v>1585</v>
      </c>
      <c r="D533" s="0" t="n">
        <v>44589920</v>
      </c>
      <c r="E533" s="0" t="n">
        <v>44589920</v>
      </c>
      <c r="F533" s="0" t="s">
        <v>200</v>
      </c>
      <c r="G533" s="0" t="s">
        <v>39</v>
      </c>
      <c r="H533" s="0" t="s">
        <v>2838</v>
      </c>
      <c r="I533" s="0" t="s">
        <v>413</v>
      </c>
      <c r="J533" s="0" t="s">
        <v>1066</v>
      </c>
      <c r="K533" s="0" t="s">
        <v>46</v>
      </c>
      <c r="L533" s="0" t="str">
        <f aca="false">HYPERLINK("https://www.ncbi.nlm.nih.gov/snp/rs5844151", "rs5844151")</f>
        <v>rs5844151</v>
      </c>
      <c r="M533" s="0" t="str">
        <f aca="false">HYPERLINK("https://www.genecards.org/Search/Keyword?queryString=%5Baliases%5D(%20CRYAA%20)%20OR%20%5Baliases%5D(%20CRYAA2%20)&amp;keywords=CRYAA,CRYAA2", "CRYAA;CRYAA2")</f>
        <v>CRYAA;CRYAA2</v>
      </c>
      <c r="N533" s="0" t="s">
        <v>1888</v>
      </c>
      <c r="O533" s="0" t="s">
        <v>2206</v>
      </c>
      <c r="P533" s="0" t="s">
        <v>2839</v>
      </c>
      <c r="Q533" s="0" t="n">
        <v>0.0001164</v>
      </c>
      <c r="R533" s="0" t="n">
        <v>-1</v>
      </c>
      <c r="S533" s="0" t="n">
        <v>-1</v>
      </c>
      <c r="T533" s="0" t="n">
        <v>-1</v>
      </c>
      <c r="U533" s="0" t="n">
        <v>-1</v>
      </c>
      <c r="V533" s="0" t="s">
        <v>46</v>
      </c>
      <c r="W533" s="0" t="s">
        <v>46</v>
      </c>
      <c r="X533" s="0" t="s">
        <v>46</v>
      </c>
      <c r="Y533" s="0" t="s">
        <v>46</v>
      </c>
      <c r="Z533" s="0" t="s">
        <v>46</v>
      </c>
      <c r="AA533" s="0" t="s">
        <v>46</v>
      </c>
      <c r="AB533" s="0" t="s">
        <v>46</v>
      </c>
      <c r="AC533" s="0" t="s">
        <v>51</v>
      </c>
      <c r="AD533" s="0" t="s">
        <v>437</v>
      </c>
      <c r="AE533" s="0" t="s">
        <v>2840</v>
      </c>
      <c r="AF533" s="0" t="s">
        <v>2841</v>
      </c>
      <c r="AG533" s="0" t="s">
        <v>2842</v>
      </c>
      <c r="AH533" s="0" t="s">
        <v>2843</v>
      </c>
      <c r="AI533" s="0" t="s">
        <v>46</v>
      </c>
      <c r="AJ533" s="0" t="s">
        <v>46</v>
      </c>
      <c r="AK533" s="0" t="s">
        <v>46</v>
      </c>
      <c r="AL533" s="0" t="s">
        <v>46</v>
      </c>
    </row>
    <row r="534" customFormat="false" ht="15" hidden="false" customHeight="false" outlineLevel="0" collapsed="false">
      <c r="B534" s="0" t="str">
        <f aca="false">HYPERLINK("https://genome.ucsc.edu/cgi-bin/hgTracks?db=hg19&amp;position=chr21%3A44839486%2D44839486", "chr21:44839486")</f>
        <v>chr21:44839486</v>
      </c>
      <c r="C534" s="0" t="s">
        <v>1585</v>
      </c>
      <c r="D534" s="0" t="n">
        <v>44839486</v>
      </c>
      <c r="E534" s="0" t="n">
        <v>44839486</v>
      </c>
      <c r="F534" s="0" t="s">
        <v>39</v>
      </c>
      <c r="G534" s="0" t="s">
        <v>40</v>
      </c>
      <c r="H534" s="0" t="s">
        <v>2844</v>
      </c>
      <c r="I534" s="0" t="s">
        <v>581</v>
      </c>
      <c r="J534" s="0" t="s">
        <v>2845</v>
      </c>
      <c r="K534" s="0" t="s">
        <v>46</v>
      </c>
      <c r="L534" s="0" t="str">
        <f aca="false">HYPERLINK("https://www.ncbi.nlm.nih.gov/snp/rs554339618", "rs554339618")</f>
        <v>rs554339618</v>
      </c>
      <c r="M534" s="0" t="str">
        <f aca="false">HYPERLINK("https://www.genecards.org/Search/Keyword?queryString=%5Baliases%5D(%20SIK1%20)%20OR%20%5Baliases%5D(%20SIK1B%20)&amp;keywords=SIK1,SIK1B", "SIK1;SIK1B")</f>
        <v>SIK1;SIK1B</v>
      </c>
      <c r="N534" s="0" t="s">
        <v>2213</v>
      </c>
      <c r="O534" s="0" t="s">
        <v>46</v>
      </c>
      <c r="P534" s="0" t="s">
        <v>46</v>
      </c>
      <c r="Q534" s="0" t="n">
        <v>0.0037</v>
      </c>
      <c r="R534" s="0" t="n">
        <v>0.0028</v>
      </c>
      <c r="S534" s="0" t="n">
        <v>0.0024</v>
      </c>
      <c r="T534" s="0" t="n">
        <v>-1</v>
      </c>
      <c r="U534" s="0" t="n">
        <v>0.0042</v>
      </c>
      <c r="V534" s="0" t="s">
        <v>46</v>
      </c>
      <c r="W534" s="0" t="s">
        <v>46</v>
      </c>
      <c r="X534" s="0" t="s">
        <v>63</v>
      </c>
      <c r="Y534" s="0" t="s">
        <v>64</v>
      </c>
      <c r="Z534" s="0" t="s">
        <v>46</v>
      </c>
      <c r="AA534" s="0" t="s">
        <v>46</v>
      </c>
      <c r="AB534" s="0" t="s">
        <v>46</v>
      </c>
      <c r="AC534" s="0" t="s">
        <v>51</v>
      </c>
      <c r="AD534" s="0" t="s">
        <v>437</v>
      </c>
      <c r="AE534" s="0" t="s">
        <v>2846</v>
      </c>
      <c r="AF534" s="0" t="s">
        <v>2847</v>
      </c>
      <c r="AG534" s="0" t="s">
        <v>2848</v>
      </c>
      <c r="AH534" s="0" t="s">
        <v>2849</v>
      </c>
      <c r="AI534" s="0" t="s">
        <v>46</v>
      </c>
      <c r="AJ534" s="0" t="s">
        <v>46</v>
      </c>
      <c r="AK534" s="0" t="s">
        <v>46</v>
      </c>
      <c r="AL534" s="0" t="s">
        <v>46</v>
      </c>
    </row>
    <row r="535" customFormat="false" ht="15" hidden="false" customHeight="false" outlineLevel="0" collapsed="false">
      <c r="B535" s="0" t="str">
        <f aca="false">HYPERLINK("https://genome.ucsc.edu/cgi-bin/hgTracks?db=hg19&amp;position=chr22%3A18606758%2D18606758", "chr22:18606758")</f>
        <v>chr22:18606758</v>
      </c>
      <c r="C535" s="0" t="s">
        <v>391</v>
      </c>
      <c r="D535" s="0" t="n">
        <v>18606758</v>
      </c>
      <c r="E535" s="0" t="n">
        <v>18606758</v>
      </c>
      <c r="F535" s="0" t="s">
        <v>69</v>
      </c>
      <c r="G535" s="0" t="s">
        <v>40</v>
      </c>
      <c r="H535" s="0" t="s">
        <v>2850</v>
      </c>
      <c r="I535" s="0" t="s">
        <v>434</v>
      </c>
      <c r="J535" s="0" t="s">
        <v>1336</v>
      </c>
      <c r="K535" s="0" t="s">
        <v>46</v>
      </c>
      <c r="L535" s="0" t="str">
        <f aca="false">HYPERLINK("https://www.ncbi.nlm.nih.gov/snp/rs74837116", "rs74837116")</f>
        <v>rs74837116</v>
      </c>
      <c r="M535" s="0" t="str">
        <f aca="false">HYPERLINK("https://www.genecards.org/Search/Keyword?queryString=%5Baliases%5D(%20TUBA8%20)&amp;keywords=TUBA8", "TUBA8")</f>
        <v>TUBA8</v>
      </c>
      <c r="N535" s="0" t="s">
        <v>1261</v>
      </c>
      <c r="O535" s="0" t="s">
        <v>46</v>
      </c>
      <c r="P535" s="0" t="s">
        <v>46</v>
      </c>
      <c r="Q535" s="0" t="n">
        <v>0.0121</v>
      </c>
      <c r="R535" s="0" t="n">
        <v>0.0122</v>
      </c>
      <c r="S535" s="0" t="n">
        <v>0.0118</v>
      </c>
      <c r="T535" s="0" t="n">
        <v>-1</v>
      </c>
      <c r="U535" s="0" t="n">
        <v>0.0093</v>
      </c>
      <c r="V535" s="0" t="s">
        <v>46</v>
      </c>
      <c r="W535" s="0" t="s">
        <v>46</v>
      </c>
      <c r="X535" s="0" t="s">
        <v>63</v>
      </c>
      <c r="Y535" s="0" t="s">
        <v>64</v>
      </c>
      <c r="Z535" s="0" t="s">
        <v>46</v>
      </c>
      <c r="AA535" s="0" t="s">
        <v>46</v>
      </c>
      <c r="AB535" s="0" t="s">
        <v>46</v>
      </c>
      <c r="AC535" s="0" t="s">
        <v>51</v>
      </c>
      <c r="AD535" s="0" t="s">
        <v>52</v>
      </c>
      <c r="AE535" s="0" t="s">
        <v>2851</v>
      </c>
      <c r="AF535" s="0" t="s">
        <v>2852</v>
      </c>
      <c r="AG535" s="0" t="s">
        <v>2853</v>
      </c>
      <c r="AH535" s="0" t="s">
        <v>2854</v>
      </c>
      <c r="AI535" s="0" t="s">
        <v>46</v>
      </c>
      <c r="AJ535" s="0" t="s">
        <v>46</v>
      </c>
      <c r="AK535" s="0" t="s">
        <v>46</v>
      </c>
      <c r="AL535" s="0" t="s">
        <v>46</v>
      </c>
    </row>
    <row r="536" customFormat="false" ht="15" hidden="false" customHeight="false" outlineLevel="0" collapsed="false">
      <c r="B536" s="0" t="str">
        <f aca="false">HYPERLINK("https://genome.ucsc.edu/cgi-bin/hgTracks?db=hg19&amp;position=chr22%3A18898295%2D18898295", "chr22:18898295")</f>
        <v>chr22:18898295</v>
      </c>
      <c r="C536" s="0" t="s">
        <v>391</v>
      </c>
      <c r="D536" s="0" t="n">
        <v>18898295</v>
      </c>
      <c r="E536" s="0" t="n">
        <v>18898295</v>
      </c>
      <c r="F536" s="0" t="s">
        <v>69</v>
      </c>
      <c r="G536" s="0" t="s">
        <v>57</v>
      </c>
      <c r="H536" s="0" t="s">
        <v>451</v>
      </c>
      <c r="I536" s="0" t="s">
        <v>178</v>
      </c>
      <c r="J536" s="0" t="s">
        <v>442</v>
      </c>
      <c r="K536" s="0" t="s">
        <v>46</v>
      </c>
      <c r="L536" s="0" t="str">
        <f aca="false">HYPERLINK("https://www.ncbi.nlm.nih.gov/snp/rs185812787", "rs185812787")</f>
        <v>rs185812787</v>
      </c>
      <c r="M536" s="0" t="str">
        <f aca="false">HYPERLINK("https://www.genecards.org/Search/Keyword?queryString=%5Baliases%5D(%20DGCR6%20)%20OR%20%5Baliases%5D(%20LOC102724770%20)&amp;keywords=DGCR6,LOC102724770", "DGCR6;LOC102724770")</f>
        <v>DGCR6;LOC102724770</v>
      </c>
      <c r="N536" s="0" t="s">
        <v>62</v>
      </c>
      <c r="O536" s="0" t="s">
        <v>46</v>
      </c>
      <c r="P536" s="0" t="s">
        <v>46</v>
      </c>
      <c r="Q536" s="0" t="n">
        <v>0.0104</v>
      </c>
      <c r="R536" s="0" t="n">
        <v>0.0088</v>
      </c>
      <c r="S536" s="0" t="n">
        <v>0.0085</v>
      </c>
      <c r="T536" s="0" t="n">
        <v>-1</v>
      </c>
      <c r="U536" s="0" t="n">
        <v>0.0071</v>
      </c>
      <c r="V536" s="0" t="s">
        <v>46</v>
      </c>
      <c r="W536" s="0" t="s">
        <v>46</v>
      </c>
      <c r="X536" s="0" t="s">
        <v>999</v>
      </c>
      <c r="Y536" s="0" t="s">
        <v>64</v>
      </c>
      <c r="Z536" s="0" t="s">
        <v>46</v>
      </c>
      <c r="AA536" s="0" t="s">
        <v>46</v>
      </c>
      <c r="AB536" s="0" t="s">
        <v>46</v>
      </c>
      <c r="AC536" s="0" t="s">
        <v>51</v>
      </c>
      <c r="AD536" s="0" t="s">
        <v>437</v>
      </c>
      <c r="AE536" s="0" t="s">
        <v>2855</v>
      </c>
      <c r="AF536" s="0" t="s">
        <v>2856</v>
      </c>
      <c r="AG536" s="0" t="s">
        <v>2857</v>
      </c>
      <c r="AH536" s="0" t="s">
        <v>46</v>
      </c>
      <c r="AI536" s="0" t="s">
        <v>46</v>
      </c>
      <c r="AJ536" s="0" t="s">
        <v>46</v>
      </c>
      <c r="AK536" s="0" t="s">
        <v>46</v>
      </c>
      <c r="AL536" s="0" t="s">
        <v>46</v>
      </c>
    </row>
    <row r="537" customFormat="false" ht="15" hidden="false" customHeight="false" outlineLevel="0" collapsed="false">
      <c r="B537" s="0" t="str">
        <f aca="false">HYPERLINK("https://genome.ucsc.edu/cgi-bin/hgTracks?db=hg19&amp;position=chr22%3A21343992%2D21343998", "chr22:21343992")</f>
        <v>chr22:21343992</v>
      </c>
      <c r="C537" s="0" t="s">
        <v>391</v>
      </c>
      <c r="D537" s="0" t="n">
        <v>21343992</v>
      </c>
      <c r="E537" s="0" t="n">
        <v>21343998</v>
      </c>
      <c r="F537" s="0" t="s">
        <v>2858</v>
      </c>
      <c r="G537" s="0" t="s">
        <v>2558</v>
      </c>
      <c r="H537" s="0" t="s">
        <v>2859</v>
      </c>
      <c r="I537" s="0" t="s">
        <v>133</v>
      </c>
      <c r="J537" s="0" t="s">
        <v>2860</v>
      </c>
      <c r="K537" s="0" t="s">
        <v>46</v>
      </c>
      <c r="L537" s="0" t="s">
        <v>46</v>
      </c>
      <c r="M537" s="0" t="str">
        <f aca="false">HYPERLINK("https://www.genecards.org/Search/Keyword?queryString=%5Baliases%5D(%20LOC107987389%20)%20OR%20%5Baliases%5D(%20LZTR1%20)&amp;keywords=LOC107987389,LZTR1", "LOC107987389;LZTR1")</f>
        <v>LOC107987389;LZTR1</v>
      </c>
      <c r="N537" s="0" t="s">
        <v>2213</v>
      </c>
      <c r="O537" s="0" t="s">
        <v>46</v>
      </c>
      <c r="P537" s="0" t="s">
        <v>46</v>
      </c>
      <c r="Q537" s="0" t="n">
        <v>-1</v>
      </c>
      <c r="R537" s="0" t="n">
        <v>-1</v>
      </c>
      <c r="S537" s="0" t="n">
        <v>-1</v>
      </c>
      <c r="T537" s="0" t="n">
        <v>-1</v>
      </c>
      <c r="U537" s="0" t="n">
        <v>-1</v>
      </c>
      <c r="V537" s="0" t="s">
        <v>46</v>
      </c>
      <c r="W537" s="0" t="s">
        <v>46</v>
      </c>
      <c r="X537" s="0" t="s">
        <v>46</v>
      </c>
      <c r="Y537" s="0" t="s">
        <v>46</v>
      </c>
      <c r="Z537" s="0" t="s">
        <v>46</v>
      </c>
      <c r="AA537" s="0" t="s">
        <v>46</v>
      </c>
      <c r="AB537" s="0" t="s">
        <v>46</v>
      </c>
      <c r="AC537" s="0" t="s">
        <v>207</v>
      </c>
      <c r="AD537" s="0" t="s">
        <v>1263</v>
      </c>
      <c r="AE537" s="0" t="s">
        <v>2861</v>
      </c>
      <c r="AF537" s="0" t="s">
        <v>2862</v>
      </c>
      <c r="AG537" s="0" t="s">
        <v>2863</v>
      </c>
      <c r="AH537" s="0" t="s">
        <v>2864</v>
      </c>
      <c r="AI537" s="0" t="s">
        <v>802</v>
      </c>
      <c r="AJ537" s="0" t="s">
        <v>46</v>
      </c>
      <c r="AK537" s="0" t="s">
        <v>46</v>
      </c>
      <c r="AL537" s="0" t="s">
        <v>46</v>
      </c>
    </row>
    <row r="538" customFormat="false" ht="15" hidden="false" customHeight="false" outlineLevel="0" collapsed="false">
      <c r="B538" s="0" t="str">
        <f aca="false">HYPERLINK("https://genome.ucsc.edu/cgi-bin/hgTracks?db=hg19&amp;position=chr22%3A21344001%2D21344032", "chr22:21344001")</f>
        <v>chr22:21344001</v>
      </c>
      <c r="C538" s="0" t="s">
        <v>391</v>
      </c>
      <c r="D538" s="0" t="n">
        <v>21344001</v>
      </c>
      <c r="E538" s="0" t="n">
        <v>21344032</v>
      </c>
      <c r="F538" s="0" t="s">
        <v>2865</v>
      </c>
      <c r="G538" s="0" t="s">
        <v>2558</v>
      </c>
      <c r="H538" s="0" t="s">
        <v>2866</v>
      </c>
      <c r="I538" s="0" t="s">
        <v>133</v>
      </c>
      <c r="J538" s="0" t="s">
        <v>2860</v>
      </c>
      <c r="K538" s="0" t="s">
        <v>46</v>
      </c>
      <c r="L538" s="0" t="s">
        <v>46</v>
      </c>
      <c r="M538" s="0" t="str">
        <f aca="false">HYPERLINK("https://www.genecards.org/Search/Keyword?queryString=%5Baliases%5D(%20LOC107987389%20)%20OR%20%5Baliases%5D(%20LZTR1%20)&amp;keywords=LOC107987389,LZTR1", "LOC107987389;LZTR1")</f>
        <v>LOC107987389;LZTR1</v>
      </c>
      <c r="N538" s="0" t="s">
        <v>2213</v>
      </c>
      <c r="O538" s="0" t="s">
        <v>46</v>
      </c>
      <c r="P538" s="0" t="s">
        <v>46</v>
      </c>
      <c r="Q538" s="0" t="n">
        <v>-1</v>
      </c>
      <c r="R538" s="0" t="n">
        <v>-1</v>
      </c>
      <c r="S538" s="0" t="n">
        <v>-1</v>
      </c>
      <c r="T538" s="0" t="n">
        <v>-1</v>
      </c>
      <c r="U538" s="0" t="n">
        <v>-1</v>
      </c>
      <c r="V538" s="0" t="s">
        <v>46</v>
      </c>
      <c r="W538" s="0" t="s">
        <v>46</v>
      </c>
      <c r="X538" s="0" t="s">
        <v>46</v>
      </c>
      <c r="Y538" s="0" t="s">
        <v>46</v>
      </c>
      <c r="Z538" s="0" t="s">
        <v>46</v>
      </c>
      <c r="AA538" s="0" t="s">
        <v>46</v>
      </c>
      <c r="AB538" s="0" t="s">
        <v>46</v>
      </c>
      <c r="AC538" s="0" t="s">
        <v>207</v>
      </c>
      <c r="AD538" s="0" t="s">
        <v>1263</v>
      </c>
      <c r="AE538" s="0" t="s">
        <v>2861</v>
      </c>
      <c r="AF538" s="0" t="s">
        <v>2862</v>
      </c>
      <c r="AG538" s="0" t="s">
        <v>2863</v>
      </c>
      <c r="AH538" s="0" t="s">
        <v>2864</v>
      </c>
      <c r="AI538" s="0" t="s">
        <v>46</v>
      </c>
      <c r="AJ538" s="0" t="s">
        <v>46</v>
      </c>
      <c r="AK538" s="0" t="s">
        <v>46</v>
      </c>
      <c r="AL538" s="0" t="s">
        <v>46</v>
      </c>
    </row>
    <row r="539" customFormat="false" ht="15" hidden="false" customHeight="false" outlineLevel="0" collapsed="false">
      <c r="B539" s="0" t="str">
        <f aca="false">HYPERLINK("https://genome.ucsc.edu/cgi-bin/hgTracks?db=hg19&amp;position=chr22%3A24761374%2D24761374", "chr22:24761374")</f>
        <v>chr22:24761374</v>
      </c>
      <c r="C539" s="0" t="s">
        <v>391</v>
      </c>
      <c r="D539" s="0" t="n">
        <v>24761374</v>
      </c>
      <c r="E539" s="0" t="n">
        <v>24761374</v>
      </c>
      <c r="F539" s="0" t="s">
        <v>57</v>
      </c>
      <c r="G539" s="0" t="s">
        <v>200</v>
      </c>
      <c r="H539" s="0" t="s">
        <v>2867</v>
      </c>
      <c r="I539" s="0" t="s">
        <v>1494</v>
      </c>
      <c r="J539" s="0" t="s">
        <v>2868</v>
      </c>
      <c r="K539" s="0" t="s">
        <v>46</v>
      </c>
      <c r="L539" s="0" t="str">
        <f aca="false">HYPERLINK("https://www.ncbi.nlm.nih.gov/snp/rs541832839", "rs541832839")</f>
        <v>rs541832839</v>
      </c>
      <c r="M539" s="0" t="str">
        <f aca="false">HYPERLINK("https://www.genecards.org/Search/Keyword?queryString=%5Baliases%5D(%20SPECC1L%20)%20OR%20%5Baliases%5D(%20SPECC1L-ADORA2A%20)&amp;keywords=SPECC1L,SPECC1L-ADORA2A", "SPECC1L;SPECC1L-ADORA2A")</f>
        <v>SPECC1L;SPECC1L-ADORA2A</v>
      </c>
      <c r="N539" s="0" t="s">
        <v>2213</v>
      </c>
      <c r="O539" s="0" t="s">
        <v>46</v>
      </c>
      <c r="P539" s="0" t="s">
        <v>46</v>
      </c>
      <c r="Q539" s="0" t="n">
        <v>0.0169</v>
      </c>
      <c r="R539" s="0" t="n">
        <v>0.013</v>
      </c>
      <c r="S539" s="0" t="n">
        <v>0.0152</v>
      </c>
      <c r="T539" s="0" t="n">
        <v>-1</v>
      </c>
      <c r="U539" s="0" t="n">
        <v>0.0138</v>
      </c>
      <c r="V539" s="0" t="s">
        <v>46</v>
      </c>
      <c r="W539" s="0" t="s">
        <v>46</v>
      </c>
      <c r="X539" s="0" t="s">
        <v>46</v>
      </c>
      <c r="Y539" s="0" t="s">
        <v>46</v>
      </c>
      <c r="Z539" s="0" t="s">
        <v>46</v>
      </c>
      <c r="AA539" s="0" t="s">
        <v>46</v>
      </c>
      <c r="AB539" s="0" t="s">
        <v>46</v>
      </c>
      <c r="AC539" s="0" t="s">
        <v>51</v>
      </c>
      <c r="AD539" s="0" t="s">
        <v>437</v>
      </c>
      <c r="AE539" s="0" t="s">
        <v>2869</v>
      </c>
      <c r="AF539" s="0" t="s">
        <v>2870</v>
      </c>
      <c r="AG539" s="0" t="s">
        <v>2871</v>
      </c>
      <c r="AH539" s="0" t="s">
        <v>2872</v>
      </c>
      <c r="AI539" s="0" t="s">
        <v>46</v>
      </c>
      <c r="AJ539" s="0" t="s">
        <v>46</v>
      </c>
      <c r="AK539" s="0" t="s">
        <v>46</v>
      </c>
      <c r="AL539" s="0" t="s">
        <v>46</v>
      </c>
    </row>
    <row r="540" customFormat="false" ht="15" hidden="false" customHeight="false" outlineLevel="0" collapsed="false">
      <c r="B540" s="0" t="str">
        <f aca="false">HYPERLINK("https://genome.ucsc.edu/cgi-bin/hgTracks?db=hg19&amp;position=chr22%3A25024040%2D25024040", "chr22:25024040")</f>
        <v>chr22:25024040</v>
      </c>
      <c r="C540" s="0" t="s">
        <v>391</v>
      </c>
      <c r="D540" s="0" t="n">
        <v>25024040</v>
      </c>
      <c r="E540" s="0" t="n">
        <v>25024040</v>
      </c>
      <c r="F540" s="0" t="s">
        <v>69</v>
      </c>
      <c r="G540" s="0" t="s">
        <v>57</v>
      </c>
      <c r="H540" s="0" t="s">
        <v>2302</v>
      </c>
      <c r="I540" s="0" t="s">
        <v>42</v>
      </c>
      <c r="J540" s="0" t="s">
        <v>2873</v>
      </c>
      <c r="K540" s="0" t="s">
        <v>46</v>
      </c>
      <c r="L540" s="0" t="str">
        <f aca="false">HYPERLINK("https://www.ncbi.nlm.nih.gov/snp/rs74279113", "rs74279113")</f>
        <v>rs74279113</v>
      </c>
      <c r="M540" s="0" t="str">
        <f aca="false">HYPERLINK("https://www.genecards.org/Search/Keyword?queryString=%5Baliases%5D(%20GGT1%20)&amp;keywords=GGT1", "GGT1")</f>
        <v>GGT1</v>
      </c>
      <c r="N540" s="0" t="s">
        <v>62</v>
      </c>
      <c r="O540" s="0" t="s">
        <v>46</v>
      </c>
      <c r="P540" s="0" t="s">
        <v>46</v>
      </c>
      <c r="Q540" s="0" t="n">
        <v>0.0101163</v>
      </c>
      <c r="R540" s="0" t="n">
        <v>-1</v>
      </c>
      <c r="S540" s="0" t="n">
        <v>-1</v>
      </c>
      <c r="T540" s="0" t="n">
        <v>-1</v>
      </c>
      <c r="U540" s="0" t="n">
        <v>-1</v>
      </c>
      <c r="V540" s="0" t="s">
        <v>46</v>
      </c>
      <c r="W540" s="0" t="s">
        <v>999</v>
      </c>
      <c r="X540" s="0" t="s">
        <v>2255</v>
      </c>
      <c r="Y540" s="0" t="s">
        <v>2214</v>
      </c>
      <c r="Z540" s="0" t="s">
        <v>46</v>
      </c>
      <c r="AA540" s="0" t="s">
        <v>46</v>
      </c>
      <c r="AB540" s="0" t="s">
        <v>46</v>
      </c>
      <c r="AC540" s="0" t="s">
        <v>51</v>
      </c>
      <c r="AD540" s="0" t="s">
        <v>111</v>
      </c>
      <c r="AE540" s="0" t="s">
        <v>1614</v>
      </c>
      <c r="AF540" s="0" t="s">
        <v>1615</v>
      </c>
      <c r="AG540" s="0" t="s">
        <v>1616</v>
      </c>
      <c r="AH540" s="0" t="s">
        <v>1617</v>
      </c>
      <c r="AI540" s="0" t="s">
        <v>802</v>
      </c>
      <c r="AJ540" s="0" t="s">
        <v>46</v>
      </c>
      <c r="AK540" s="0" t="s">
        <v>46</v>
      </c>
      <c r="AL540" s="0" t="s">
        <v>584</v>
      </c>
    </row>
    <row r="541" customFormat="false" ht="15" hidden="false" customHeight="false" outlineLevel="0" collapsed="false">
      <c r="B541" s="0" t="str">
        <f aca="false">HYPERLINK("https://genome.ucsc.edu/cgi-bin/hgTracks?db=hg19&amp;position=chr22%3A25024363%2D25024363", "chr22:25024363")</f>
        <v>chr22:25024363</v>
      </c>
      <c r="C541" s="0" t="s">
        <v>391</v>
      </c>
      <c r="D541" s="0" t="n">
        <v>25024363</v>
      </c>
      <c r="E541" s="0" t="n">
        <v>25024363</v>
      </c>
      <c r="F541" s="0" t="s">
        <v>69</v>
      </c>
      <c r="G541" s="0" t="s">
        <v>57</v>
      </c>
      <c r="H541" s="0" t="s">
        <v>2628</v>
      </c>
      <c r="I541" s="0" t="s">
        <v>689</v>
      </c>
      <c r="J541" s="0" t="s">
        <v>2874</v>
      </c>
      <c r="K541" s="0" t="s">
        <v>46</v>
      </c>
      <c r="L541" s="0" t="str">
        <f aca="false">HYPERLINK("https://www.ncbi.nlm.nih.gov/snp/rs756886269", "rs756886269")</f>
        <v>rs756886269</v>
      </c>
      <c r="M541" s="0" t="str">
        <f aca="false">HYPERLINK("https://www.genecards.org/Search/Keyword?queryString=%5Baliases%5D(%20GGT1%20)&amp;keywords=GGT1", "GGT1")</f>
        <v>GGT1</v>
      </c>
      <c r="N541" s="0" t="s">
        <v>62</v>
      </c>
      <c r="O541" s="0" t="s">
        <v>46</v>
      </c>
      <c r="P541" s="0" t="s">
        <v>46</v>
      </c>
      <c r="Q541" s="0" t="n">
        <v>6.49E-005</v>
      </c>
      <c r="R541" s="0" t="n">
        <v>9.037E-005</v>
      </c>
      <c r="S541" s="0" t="n">
        <v>7.354E-005</v>
      </c>
      <c r="T541" s="0" t="n">
        <v>-1</v>
      </c>
      <c r="U541" s="0" t="n">
        <v>-1</v>
      </c>
      <c r="V541" s="0" t="s">
        <v>46</v>
      </c>
      <c r="W541" s="0" t="s">
        <v>40</v>
      </c>
      <c r="X541" s="0" t="s">
        <v>999</v>
      </c>
      <c r="Y541" s="0" t="s">
        <v>64</v>
      </c>
      <c r="Z541" s="0" t="s">
        <v>46</v>
      </c>
      <c r="AA541" s="0" t="s">
        <v>46</v>
      </c>
      <c r="AB541" s="0" t="s">
        <v>46</v>
      </c>
      <c r="AC541" s="0" t="s">
        <v>51</v>
      </c>
      <c r="AD541" s="0" t="s">
        <v>111</v>
      </c>
      <c r="AE541" s="0" t="s">
        <v>1614</v>
      </c>
      <c r="AF541" s="0" t="s">
        <v>1615</v>
      </c>
      <c r="AG541" s="0" t="s">
        <v>1616</v>
      </c>
      <c r="AH541" s="0" t="s">
        <v>1617</v>
      </c>
      <c r="AI541" s="0" t="s">
        <v>46</v>
      </c>
      <c r="AJ541" s="0" t="s">
        <v>46</v>
      </c>
      <c r="AK541" s="0" t="s">
        <v>46</v>
      </c>
      <c r="AL541" s="0" t="s">
        <v>584</v>
      </c>
    </row>
    <row r="542" customFormat="false" ht="15" hidden="false" customHeight="false" outlineLevel="0" collapsed="false">
      <c r="B542" s="0" t="str">
        <f aca="false">HYPERLINK("https://genome.ucsc.edu/cgi-bin/hgTracks?db=hg19&amp;position=chr3%3A4856268%2D4856268", "chr3:4856268")</f>
        <v>chr3:4856268</v>
      </c>
      <c r="C542" s="0" t="s">
        <v>309</v>
      </c>
      <c r="D542" s="0" t="n">
        <v>4856268</v>
      </c>
      <c r="E542" s="0" t="n">
        <v>4856268</v>
      </c>
      <c r="F542" s="0" t="s">
        <v>69</v>
      </c>
      <c r="G542" s="0" t="s">
        <v>57</v>
      </c>
      <c r="H542" s="0" t="s">
        <v>2875</v>
      </c>
      <c r="I542" s="0" t="s">
        <v>1292</v>
      </c>
      <c r="J542" s="0" t="s">
        <v>2876</v>
      </c>
      <c r="K542" s="0" t="s">
        <v>46</v>
      </c>
      <c r="L542" s="0" t="str">
        <f aca="false">HYPERLINK("https://www.ncbi.nlm.nih.gov/snp/rs201628446", "rs201628446")</f>
        <v>rs201628446</v>
      </c>
      <c r="M542" s="0" t="str">
        <f aca="false">HYPERLINK("https://www.genecards.org/Search/Keyword?queryString=%5Baliases%5D(%20ITPR1%20)&amp;keywords=ITPR1", "ITPR1")</f>
        <v>ITPR1</v>
      </c>
      <c r="N542" s="0" t="s">
        <v>2213</v>
      </c>
      <c r="O542" s="0" t="s">
        <v>46</v>
      </c>
      <c r="P542" s="0" t="s">
        <v>46</v>
      </c>
      <c r="Q542" s="0" t="n">
        <v>0.0156</v>
      </c>
      <c r="R542" s="0" t="n">
        <v>0.0032</v>
      </c>
      <c r="S542" s="0" t="n">
        <v>0.0029</v>
      </c>
      <c r="T542" s="0" t="n">
        <v>-1</v>
      </c>
      <c r="U542" s="0" t="n">
        <v>0.0053</v>
      </c>
      <c r="V542" s="0" t="s">
        <v>46</v>
      </c>
      <c r="W542" s="0" t="s">
        <v>46</v>
      </c>
      <c r="X542" s="0" t="s">
        <v>63</v>
      </c>
      <c r="Y542" s="0" t="s">
        <v>64</v>
      </c>
      <c r="Z542" s="0" t="s">
        <v>46</v>
      </c>
      <c r="AA542" s="0" t="s">
        <v>46</v>
      </c>
      <c r="AB542" s="0" t="s">
        <v>46</v>
      </c>
      <c r="AC542" s="0" t="s">
        <v>51</v>
      </c>
      <c r="AD542" s="0" t="s">
        <v>52</v>
      </c>
      <c r="AE542" s="0" t="s">
        <v>2877</v>
      </c>
      <c r="AF542" s="0" t="s">
        <v>2878</v>
      </c>
      <c r="AG542" s="0" t="s">
        <v>2879</v>
      </c>
      <c r="AH542" s="0" t="s">
        <v>2880</v>
      </c>
      <c r="AI542" s="0" t="s">
        <v>46</v>
      </c>
      <c r="AJ542" s="0" t="s">
        <v>46</v>
      </c>
      <c r="AK542" s="0" t="s">
        <v>46</v>
      </c>
      <c r="AL542" s="0" t="s">
        <v>46</v>
      </c>
    </row>
    <row r="543" customFormat="false" ht="15" hidden="false" customHeight="false" outlineLevel="0" collapsed="false">
      <c r="B543" s="0" t="str">
        <f aca="false">HYPERLINK("https://genome.ucsc.edu/cgi-bin/hgTracks?db=hg19&amp;position=chr3%3A10193100%2D10193100", "chr3:10193100")</f>
        <v>chr3:10193100</v>
      </c>
      <c r="C543" s="0" t="s">
        <v>309</v>
      </c>
      <c r="D543" s="0" t="n">
        <v>10193100</v>
      </c>
      <c r="E543" s="0" t="n">
        <v>10193100</v>
      </c>
      <c r="F543" s="0" t="s">
        <v>200</v>
      </c>
      <c r="G543" s="0" t="s">
        <v>57</v>
      </c>
      <c r="H543" s="0" t="s">
        <v>2881</v>
      </c>
      <c r="I543" s="0" t="s">
        <v>111</v>
      </c>
      <c r="J543" s="0" t="s">
        <v>2882</v>
      </c>
      <c r="K543" s="0" t="s">
        <v>46</v>
      </c>
      <c r="L543" s="0" t="str">
        <f aca="false">HYPERLINK("https://www.ncbi.nlm.nih.gov/snp/rs747782558", "rs747782558")</f>
        <v>rs747782558</v>
      </c>
      <c r="M543" s="0" t="str">
        <f aca="false">HYPERLINK("https://www.genecards.org/Search/Keyword?queryString=%5Baliases%5D(%20VHL%20)&amp;keywords=VHL", "VHL")</f>
        <v>VHL</v>
      </c>
      <c r="N543" s="0" t="s">
        <v>86</v>
      </c>
      <c r="O543" s="0" t="s">
        <v>46</v>
      </c>
      <c r="P543" s="0" t="s">
        <v>2883</v>
      </c>
      <c r="Q543" s="0" t="n">
        <v>0.0002689</v>
      </c>
      <c r="R543" s="0" t="n">
        <v>-1</v>
      </c>
      <c r="S543" s="0" t="n">
        <v>-1</v>
      </c>
      <c r="T543" s="0" t="n">
        <v>-1</v>
      </c>
      <c r="U543" s="0" t="n">
        <v>-1</v>
      </c>
      <c r="V543" s="0" t="s">
        <v>46</v>
      </c>
      <c r="W543" s="0" t="s">
        <v>46</v>
      </c>
      <c r="X543" s="0" t="s">
        <v>46</v>
      </c>
      <c r="Y543" s="0" t="s">
        <v>46</v>
      </c>
      <c r="Z543" s="0" t="s">
        <v>46</v>
      </c>
      <c r="AA543" s="0" t="s">
        <v>46</v>
      </c>
      <c r="AB543" s="0" t="s">
        <v>46</v>
      </c>
      <c r="AC543" s="0" t="s">
        <v>51</v>
      </c>
      <c r="AD543" s="0" t="s">
        <v>52</v>
      </c>
      <c r="AE543" s="0" t="s">
        <v>2884</v>
      </c>
      <c r="AF543" s="0" t="s">
        <v>2885</v>
      </c>
      <c r="AG543" s="0" t="s">
        <v>2886</v>
      </c>
      <c r="AH543" s="0" t="s">
        <v>2887</v>
      </c>
      <c r="AI543" s="0" t="s">
        <v>46</v>
      </c>
      <c r="AJ543" s="0" t="s">
        <v>46</v>
      </c>
      <c r="AK543" s="0" t="s">
        <v>46</v>
      </c>
      <c r="AL543" s="0" t="s">
        <v>46</v>
      </c>
    </row>
    <row r="544" customFormat="false" ht="15" hidden="false" customHeight="false" outlineLevel="0" collapsed="false">
      <c r="B544" s="0" t="str">
        <f aca="false">HYPERLINK("https://genome.ucsc.edu/cgi-bin/hgTracks?db=hg19&amp;position=chr3%3A11643576%2D11643576", "chr3:11643576")</f>
        <v>chr3:11643576</v>
      </c>
      <c r="C544" s="0" t="s">
        <v>309</v>
      </c>
      <c r="D544" s="0" t="n">
        <v>11643576</v>
      </c>
      <c r="E544" s="0" t="n">
        <v>11643576</v>
      </c>
      <c r="F544" s="0" t="s">
        <v>39</v>
      </c>
      <c r="G544" s="0" t="s">
        <v>40</v>
      </c>
      <c r="H544" s="0" t="s">
        <v>2888</v>
      </c>
      <c r="I544" s="0" t="s">
        <v>924</v>
      </c>
      <c r="J544" s="0" t="s">
        <v>2889</v>
      </c>
      <c r="K544" s="0" t="s">
        <v>46</v>
      </c>
      <c r="L544" s="0" t="str">
        <f aca="false">HYPERLINK("https://www.ncbi.nlm.nih.gov/snp/rs148995584", "rs148995584")</f>
        <v>rs148995584</v>
      </c>
      <c r="M544" s="0" t="str">
        <f aca="false">HYPERLINK("https://www.genecards.org/Search/Keyword?queryString=%5Baliases%5D(%20VGLL4%20)&amp;keywords=VGLL4", "VGLL4")</f>
        <v>VGLL4</v>
      </c>
      <c r="N544" s="0" t="s">
        <v>62</v>
      </c>
      <c r="O544" s="0" t="s">
        <v>46</v>
      </c>
      <c r="P544" s="0" t="s">
        <v>46</v>
      </c>
      <c r="Q544" s="0" t="n">
        <v>0.0288</v>
      </c>
      <c r="R544" s="0" t="n">
        <v>0.0209</v>
      </c>
      <c r="S544" s="0" t="n">
        <v>0.0221</v>
      </c>
      <c r="T544" s="0" t="n">
        <v>-1</v>
      </c>
      <c r="U544" s="0" t="n">
        <v>0.0221</v>
      </c>
      <c r="V544" s="0" t="s">
        <v>46</v>
      </c>
      <c r="W544" s="0" t="s">
        <v>46</v>
      </c>
      <c r="X544" s="0" t="s">
        <v>999</v>
      </c>
      <c r="Y544" s="0" t="s">
        <v>64</v>
      </c>
      <c r="Z544" s="0" t="s">
        <v>46</v>
      </c>
      <c r="AA544" s="0" t="s">
        <v>46</v>
      </c>
      <c r="AB544" s="0" t="s">
        <v>46</v>
      </c>
      <c r="AC544" s="0" t="s">
        <v>51</v>
      </c>
      <c r="AD544" s="0" t="s">
        <v>52</v>
      </c>
      <c r="AE544" s="0" t="s">
        <v>2890</v>
      </c>
      <c r="AF544" s="0" t="s">
        <v>2891</v>
      </c>
      <c r="AG544" s="0" t="s">
        <v>2892</v>
      </c>
      <c r="AH544" s="0" t="s">
        <v>46</v>
      </c>
      <c r="AI544" s="0" t="s">
        <v>46</v>
      </c>
      <c r="AJ544" s="0" t="s">
        <v>46</v>
      </c>
      <c r="AK544" s="0" t="s">
        <v>46</v>
      </c>
      <c r="AL544" s="0" t="s">
        <v>46</v>
      </c>
    </row>
    <row r="545" customFormat="false" ht="15" hidden="false" customHeight="false" outlineLevel="0" collapsed="false">
      <c r="B545" s="0" t="str">
        <f aca="false">HYPERLINK("https://genome.ucsc.edu/cgi-bin/hgTracks?db=hg19&amp;position=chr3%3A14201511%2D14201511", "chr3:14201511")</f>
        <v>chr3:14201511</v>
      </c>
      <c r="C545" s="0" t="s">
        <v>309</v>
      </c>
      <c r="D545" s="0" t="n">
        <v>14201511</v>
      </c>
      <c r="E545" s="0" t="n">
        <v>14201511</v>
      </c>
      <c r="F545" s="0" t="s">
        <v>39</v>
      </c>
      <c r="G545" s="0" t="s">
        <v>40</v>
      </c>
      <c r="H545" s="0" t="s">
        <v>2893</v>
      </c>
      <c r="I545" s="0" t="s">
        <v>421</v>
      </c>
      <c r="J545" s="0" t="s">
        <v>1182</v>
      </c>
      <c r="K545" s="0" t="s">
        <v>46</v>
      </c>
      <c r="L545" s="0" t="str">
        <f aca="false">HYPERLINK("https://www.ncbi.nlm.nih.gov/snp/rs145385191", "rs145385191")</f>
        <v>rs145385191</v>
      </c>
      <c r="M545" s="0" t="str">
        <f aca="false">HYPERLINK("https://www.genecards.org/Search/Keyword?queryString=%5Baliases%5D(%20XPC%20)&amp;keywords=XPC", "XPC")</f>
        <v>XPC</v>
      </c>
      <c r="N545" s="0" t="s">
        <v>2213</v>
      </c>
      <c r="O545" s="0" t="s">
        <v>46</v>
      </c>
      <c r="P545" s="0" t="s">
        <v>46</v>
      </c>
      <c r="Q545" s="0" t="n">
        <v>0.0172</v>
      </c>
      <c r="R545" s="0" t="n">
        <v>0.0078</v>
      </c>
      <c r="S545" s="0" t="n">
        <v>0.0079</v>
      </c>
      <c r="T545" s="0" t="n">
        <v>-1</v>
      </c>
      <c r="U545" s="0" t="n">
        <v>0.0062</v>
      </c>
      <c r="V545" s="0" t="s">
        <v>46</v>
      </c>
      <c r="W545" s="0" t="s">
        <v>46</v>
      </c>
      <c r="X545" s="0" t="s">
        <v>63</v>
      </c>
      <c r="Y545" s="0" t="s">
        <v>64</v>
      </c>
      <c r="Z545" s="0" t="s">
        <v>46</v>
      </c>
      <c r="AA545" s="0" t="s">
        <v>46</v>
      </c>
      <c r="AB545" s="0" t="s">
        <v>46</v>
      </c>
      <c r="AC545" s="0" t="s">
        <v>51</v>
      </c>
      <c r="AD545" s="0" t="s">
        <v>52</v>
      </c>
      <c r="AE545" s="0" t="s">
        <v>2894</v>
      </c>
      <c r="AF545" s="0" t="s">
        <v>2895</v>
      </c>
      <c r="AG545" s="0" t="s">
        <v>2896</v>
      </c>
      <c r="AH545" s="0" t="s">
        <v>2897</v>
      </c>
      <c r="AI545" s="0" t="s">
        <v>46</v>
      </c>
      <c r="AJ545" s="0" t="s">
        <v>46</v>
      </c>
      <c r="AK545" s="0" t="s">
        <v>46</v>
      </c>
      <c r="AL545" s="0" t="s">
        <v>46</v>
      </c>
    </row>
    <row r="546" customFormat="false" ht="15" hidden="false" customHeight="false" outlineLevel="0" collapsed="false">
      <c r="B546" s="0" t="str">
        <f aca="false">HYPERLINK("https://genome.ucsc.edu/cgi-bin/hgTracks?db=hg19&amp;position=chr3%3A25666141%2D25666141", "chr3:25666141")</f>
        <v>chr3:25666141</v>
      </c>
      <c r="C546" s="0" t="s">
        <v>309</v>
      </c>
      <c r="D546" s="0" t="n">
        <v>25666141</v>
      </c>
      <c r="E546" s="0" t="n">
        <v>25666141</v>
      </c>
      <c r="F546" s="0" t="s">
        <v>57</v>
      </c>
      <c r="G546" s="0" t="s">
        <v>39</v>
      </c>
      <c r="H546" s="0" t="s">
        <v>1102</v>
      </c>
      <c r="I546" s="0" t="s">
        <v>434</v>
      </c>
      <c r="J546" s="0" t="s">
        <v>1336</v>
      </c>
      <c r="K546" s="0" t="s">
        <v>46</v>
      </c>
      <c r="L546" s="0" t="s">
        <v>46</v>
      </c>
      <c r="M546" s="0" t="str">
        <f aca="false">HYPERLINK("https://www.genecards.org/Search/Keyword?queryString=%5Baliases%5D(%20TOP2B%20)&amp;keywords=TOP2B", "TOP2B")</f>
        <v>TOP2B</v>
      </c>
      <c r="N546" s="0" t="s">
        <v>62</v>
      </c>
      <c r="O546" s="0" t="s">
        <v>46</v>
      </c>
      <c r="P546" s="0" t="s">
        <v>46</v>
      </c>
      <c r="Q546" s="0" t="n">
        <v>-1</v>
      </c>
      <c r="R546" s="0" t="n">
        <v>-1</v>
      </c>
      <c r="S546" s="0" t="n">
        <v>-1</v>
      </c>
      <c r="T546" s="0" t="n">
        <v>-1</v>
      </c>
      <c r="U546" s="0" t="n">
        <v>-1</v>
      </c>
      <c r="V546" s="0" t="s">
        <v>46</v>
      </c>
      <c r="W546" s="0" t="s">
        <v>46</v>
      </c>
      <c r="X546" s="0" t="s">
        <v>2255</v>
      </c>
      <c r="Y546" s="0" t="s">
        <v>64</v>
      </c>
      <c r="Z546" s="0" t="s">
        <v>46</v>
      </c>
      <c r="AA546" s="0" t="s">
        <v>46</v>
      </c>
      <c r="AB546" s="0" t="s">
        <v>46</v>
      </c>
      <c r="AC546" s="0" t="s">
        <v>51</v>
      </c>
      <c r="AD546" s="0" t="s">
        <v>52</v>
      </c>
      <c r="AE546" s="0" t="s">
        <v>2898</v>
      </c>
      <c r="AF546" s="0" t="s">
        <v>2899</v>
      </c>
      <c r="AG546" s="0" t="s">
        <v>2900</v>
      </c>
      <c r="AH546" s="0" t="s">
        <v>46</v>
      </c>
      <c r="AI546" s="0" t="s">
        <v>46</v>
      </c>
      <c r="AJ546" s="0" t="s">
        <v>46</v>
      </c>
      <c r="AK546" s="0" t="s">
        <v>46</v>
      </c>
      <c r="AL546" s="0" t="s">
        <v>46</v>
      </c>
    </row>
    <row r="547" customFormat="false" ht="15" hidden="false" customHeight="false" outlineLevel="0" collapsed="false">
      <c r="B547" s="0" t="str">
        <f aca="false">HYPERLINK("https://genome.ucsc.edu/cgi-bin/hgTracks?db=hg19&amp;position=chr3%3A49830555%2D49830555", "chr3:49830555")</f>
        <v>chr3:49830555</v>
      </c>
      <c r="C547" s="0" t="s">
        <v>309</v>
      </c>
      <c r="D547" s="0" t="n">
        <v>49830555</v>
      </c>
      <c r="E547" s="0" t="n">
        <v>49830555</v>
      </c>
      <c r="F547" s="0" t="s">
        <v>69</v>
      </c>
      <c r="G547" s="0" t="s">
        <v>57</v>
      </c>
      <c r="H547" s="0" t="s">
        <v>2901</v>
      </c>
      <c r="I547" s="0" t="s">
        <v>2549</v>
      </c>
      <c r="J547" s="0" t="s">
        <v>2902</v>
      </c>
      <c r="K547" s="0" t="s">
        <v>46</v>
      </c>
      <c r="L547" s="0" t="str">
        <f aca="false">HYPERLINK("https://www.ncbi.nlm.nih.gov/snp/rs372008297", "rs372008297")</f>
        <v>rs372008297</v>
      </c>
      <c r="M547" s="0" t="str">
        <f aca="false">HYPERLINK("https://www.genecards.org/Search/Keyword?queryString=%5Baliases%5D(%20CDHR4%20)&amp;keywords=CDHR4", "CDHR4")</f>
        <v>CDHR4</v>
      </c>
      <c r="N547" s="0" t="s">
        <v>62</v>
      </c>
      <c r="O547" s="0" t="s">
        <v>46</v>
      </c>
      <c r="P547" s="0" t="s">
        <v>46</v>
      </c>
      <c r="Q547" s="0" t="n">
        <v>0.0012</v>
      </c>
      <c r="R547" s="0" t="n">
        <v>0.0012</v>
      </c>
      <c r="S547" s="0" t="n">
        <v>0.0005</v>
      </c>
      <c r="T547" s="0" t="n">
        <v>-1</v>
      </c>
      <c r="U547" s="0" t="n">
        <v>0.0005</v>
      </c>
      <c r="V547" s="0" t="s">
        <v>46</v>
      </c>
      <c r="W547" s="0" t="s">
        <v>46</v>
      </c>
      <c r="X547" s="0" t="s">
        <v>999</v>
      </c>
      <c r="Y547" s="0" t="s">
        <v>64</v>
      </c>
      <c r="Z547" s="0" t="s">
        <v>46</v>
      </c>
      <c r="AA547" s="0" t="s">
        <v>46</v>
      </c>
      <c r="AB547" s="0" t="s">
        <v>46</v>
      </c>
      <c r="AC547" s="0" t="s">
        <v>51</v>
      </c>
      <c r="AD547" s="0" t="s">
        <v>52</v>
      </c>
      <c r="AE547" s="0" t="s">
        <v>2903</v>
      </c>
      <c r="AF547" s="0" t="s">
        <v>2904</v>
      </c>
      <c r="AG547" s="0" t="s">
        <v>2905</v>
      </c>
      <c r="AH547" s="0" t="s">
        <v>46</v>
      </c>
      <c r="AI547" s="0" t="s">
        <v>46</v>
      </c>
      <c r="AJ547" s="0" t="s">
        <v>46</v>
      </c>
      <c r="AK547" s="0" t="s">
        <v>46</v>
      </c>
      <c r="AL547" s="0" t="s">
        <v>46</v>
      </c>
    </row>
    <row r="548" customFormat="false" ht="15" hidden="false" customHeight="false" outlineLevel="0" collapsed="false">
      <c r="B548" s="0" t="str">
        <f aca="false">HYPERLINK("https://genome.ucsc.edu/cgi-bin/hgTracks?db=hg19&amp;position=chr3%3A52561174%2D52561174", "chr3:52561174")</f>
        <v>chr3:52561174</v>
      </c>
      <c r="C548" s="0" t="s">
        <v>309</v>
      </c>
      <c r="D548" s="0" t="n">
        <v>52561174</v>
      </c>
      <c r="E548" s="0" t="n">
        <v>52561174</v>
      </c>
      <c r="F548" s="0" t="s">
        <v>69</v>
      </c>
      <c r="G548" s="0" t="s">
        <v>57</v>
      </c>
      <c r="H548" s="0" t="s">
        <v>1425</v>
      </c>
      <c r="I548" s="0" t="s">
        <v>311</v>
      </c>
      <c r="J548" s="0" t="s">
        <v>1141</v>
      </c>
      <c r="K548" s="0" t="s">
        <v>46</v>
      </c>
      <c r="L548" s="0" t="str">
        <f aca="false">HYPERLINK("https://www.ncbi.nlm.nih.gov/snp/rs965616838", "rs965616838")</f>
        <v>rs965616838</v>
      </c>
      <c r="M548" s="0" t="str">
        <f aca="false">HYPERLINK("https://www.genecards.org/Search/Keyword?queryString=%5Baliases%5D(%20NT5DC2%20)&amp;keywords=NT5DC2", "NT5DC2")</f>
        <v>NT5DC2</v>
      </c>
      <c r="N548" s="0" t="s">
        <v>62</v>
      </c>
      <c r="O548" s="0" t="s">
        <v>46</v>
      </c>
      <c r="P548" s="0" t="s">
        <v>46</v>
      </c>
      <c r="Q548" s="0" t="n">
        <v>0.0006</v>
      </c>
      <c r="R548" s="0" t="n">
        <v>0.0007</v>
      </c>
      <c r="S548" s="0" t="n">
        <v>0.0006</v>
      </c>
      <c r="T548" s="0" t="n">
        <v>-1</v>
      </c>
      <c r="U548" s="0" t="n">
        <v>-1</v>
      </c>
      <c r="V548" s="0" t="s">
        <v>46</v>
      </c>
      <c r="W548" s="0" t="s">
        <v>46</v>
      </c>
      <c r="X548" s="0" t="s">
        <v>999</v>
      </c>
      <c r="Y548" s="0" t="s">
        <v>64</v>
      </c>
      <c r="Z548" s="0" t="s">
        <v>46</v>
      </c>
      <c r="AA548" s="0" t="s">
        <v>46</v>
      </c>
      <c r="AB548" s="0" t="s">
        <v>46</v>
      </c>
      <c r="AC548" s="0" t="s">
        <v>51</v>
      </c>
      <c r="AD548" s="0" t="s">
        <v>52</v>
      </c>
      <c r="AE548" s="0" t="s">
        <v>2906</v>
      </c>
      <c r="AF548" s="0" t="s">
        <v>2907</v>
      </c>
      <c r="AG548" s="0" t="s">
        <v>46</v>
      </c>
      <c r="AH548" s="0" t="s">
        <v>46</v>
      </c>
      <c r="AI548" s="0" t="s">
        <v>46</v>
      </c>
      <c r="AJ548" s="0" t="s">
        <v>46</v>
      </c>
      <c r="AK548" s="0" t="s">
        <v>46</v>
      </c>
      <c r="AL548" s="0" t="s">
        <v>46</v>
      </c>
    </row>
    <row r="549" customFormat="false" ht="15" hidden="false" customHeight="false" outlineLevel="0" collapsed="false">
      <c r="B549" s="0" t="str">
        <f aca="false">HYPERLINK("https://genome.ucsc.edu/cgi-bin/hgTracks?db=hg19&amp;position=chr3%3A58063168%2D58063168", "chr3:58063168")</f>
        <v>chr3:58063168</v>
      </c>
      <c r="C549" s="0" t="s">
        <v>309</v>
      </c>
      <c r="D549" s="0" t="n">
        <v>58063168</v>
      </c>
      <c r="E549" s="0" t="n">
        <v>58063168</v>
      </c>
      <c r="F549" s="0" t="s">
        <v>39</v>
      </c>
      <c r="G549" s="0" t="s">
        <v>69</v>
      </c>
      <c r="H549" s="0" t="s">
        <v>558</v>
      </c>
      <c r="I549" s="0" t="s">
        <v>111</v>
      </c>
      <c r="J549" s="0" t="s">
        <v>907</v>
      </c>
      <c r="K549" s="0" t="s">
        <v>46</v>
      </c>
      <c r="L549" s="0" t="str">
        <f aca="false">HYPERLINK("https://www.ncbi.nlm.nih.gov/snp/rs114122647", "rs114122647")</f>
        <v>rs114122647</v>
      </c>
      <c r="M549" s="0" t="str">
        <f aca="false">HYPERLINK("https://www.genecards.org/Search/Keyword?queryString=%5Baliases%5D(%20FLNB%20)&amp;keywords=FLNB", "FLNB")</f>
        <v>FLNB</v>
      </c>
      <c r="N549" s="0" t="s">
        <v>62</v>
      </c>
      <c r="O549" s="0" t="s">
        <v>46</v>
      </c>
      <c r="P549" s="0" t="s">
        <v>46</v>
      </c>
      <c r="Q549" s="0" t="n">
        <v>0.0129</v>
      </c>
      <c r="R549" s="0" t="n">
        <v>0.0063</v>
      </c>
      <c r="S549" s="0" t="n">
        <v>0.0054</v>
      </c>
      <c r="T549" s="0" t="n">
        <v>-1</v>
      </c>
      <c r="U549" s="0" t="n">
        <v>0.0041</v>
      </c>
      <c r="V549" s="0" t="s">
        <v>46</v>
      </c>
      <c r="W549" s="0" t="s">
        <v>46</v>
      </c>
      <c r="X549" s="0" t="s">
        <v>999</v>
      </c>
      <c r="Y549" s="0" t="s">
        <v>64</v>
      </c>
      <c r="Z549" s="0" t="s">
        <v>46</v>
      </c>
      <c r="AA549" s="0" t="s">
        <v>46</v>
      </c>
      <c r="AB549" s="0" t="s">
        <v>46</v>
      </c>
      <c r="AC549" s="0" t="s">
        <v>51</v>
      </c>
      <c r="AD549" s="0" t="s">
        <v>52</v>
      </c>
      <c r="AE549" s="0" t="s">
        <v>2908</v>
      </c>
      <c r="AF549" s="0" t="s">
        <v>2909</v>
      </c>
      <c r="AG549" s="0" t="s">
        <v>2910</v>
      </c>
      <c r="AH549" s="0" t="s">
        <v>2911</v>
      </c>
      <c r="AI549" s="0" t="s">
        <v>46</v>
      </c>
      <c r="AJ549" s="0" t="s">
        <v>46</v>
      </c>
      <c r="AK549" s="0" t="s">
        <v>46</v>
      </c>
      <c r="AL549" s="0" t="s">
        <v>46</v>
      </c>
    </row>
    <row r="550" customFormat="false" ht="15" hidden="false" customHeight="false" outlineLevel="0" collapsed="false">
      <c r="B550" s="0" t="str">
        <f aca="false">HYPERLINK("https://genome.ucsc.edu/cgi-bin/hgTracks?db=hg19&amp;position=chr3%3A130733046%2D130733046", "chr3:130733046")</f>
        <v>chr3:130733046</v>
      </c>
      <c r="C550" s="0" t="s">
        <v>309</v>
      </c>
      <c r="D550" s="0" t="n">
        <v>130733046</v>
      </c>
      <c r="E550" s="0" t="n">
        <v>130733046</v>
      </c>
      <c r="F550" s="0" t="s">
        <v>200</v>
      </c>
      <c r="G550" s="0" t="s">
        <v>40</v>
      </c>
      <c r="H550" s="0" t="s">
        <v>2912</v>
      </c>
      <c r="I550" s="0" t="s">
        <v>581</v>
      </c>
      <c r="J550" s="0" t="s">
        <v>2845</v>
      </c>
      <c r="K550" s="0" t="s">
        <v>46</v>
      </c>
      <c r="L550" s="0" t="str">
        <f aca="false">HYPERLINK("https://www.ncbi.nlm.nih.gov/snp/rs765255269", "rs765255269")</f>
        <v>rs765255269</v>
      </c>
      <c r="M550" s="0" t="str">
        <f aca="false">HYPERLINK("https://www.genecards.org/Search/Keyword?queryString=%5Baliases%5D(%20ASTE1%20)&amp;keywords=ASTE1", "ASTE1")</f>
        <v>ASTE1</v>
      </c>
      <c r="N550" s="0" t="s">
        <v>98</v>
      </c>
      <c r="O550" s="0" t="s">
        <v>2206</v>
      </c>
      <c r="P550" s="0" t="s">
        <v>2913</v>
      </c>
      <c r="Q550" s="0" t="n">
        <v>0.0056</v>
      </c>
      <c r="R550" s="0" t="n">
        <v>0.006</v>
      </c>
      <c r="S550" s="0" t="n">
        <v>0.0025</v>
      </c>
      <c r="T550" s="0" t="n">
        <v>-1</v>
      </c>
      <c r="U550" s="0" t="n">
        <v>0.0098</v>
      </c>
      <c r="V550" s="0" t="s">
        <v>46</v>
      </c>
      <c r="W550" s="0" t="s">
        <v>46</v>
      </c>
      <c r="X550" s="0" t="s">
        <v>46</v>
      </c>
      <c r="Y550" s="0" t="s">
        <v>46</v>
      </c>
      <c r="Z550" s="0" t="s">
        <v>46</v>
      </c>
      <c r="AA550" s="0" t="s">
        <v>46</v>
      </c>
      <c r="AB550" s="0" t="s">
        <v>46</v>
      </c>
      <c r="AC550" s="0" t="s">
        <v>51</v>
      </c>
      <c r="AD550" s="0" t="s">
        <v>52</v>
      </c>
      <c r="AE550" s="0" t="s">
        <v>2914</v>
      </c>
      <c r="AF550" s="0" t="s">
        <v>2915</v>
      </c>
      <c r="AG550" s="0" t="s">
        <v>2916</v>
      </c>
      <c r="AH550" s="0" t="s">
        <v>46</v>
      </c>
      <c r="AI550" s="0" t="s">
        <v>46</v>
      </c>
      <c r="AJ550" s="0" t="s">
        <v>46</v>
      </c>
      <c r="AK550" s="0" t="s">
        <v>46</v>
      </c>
      <c r="AL550" s="0" t="s">
        <v>46</v>
      </c>
    </row>
    <row r="551" customFormat="false" ht="15" hidden="false" customHeight="false" outlineLevel="0" collapsed="false">
      <c r="B551" s="0" t="str">
        <f aca="false">HYPERLINK("https://genome.ucsc.edu/cgi-bin/hgTracks?db=hg19&amp;position=chr3%3A134204836%2D134204836", "chr3:134204836")</f>
        <v>chr3:134204836</v>
      </c>
      <c r="C551" s="0" t="s">
        <v>309</v>
      </c>
      <c r="D551" s="0" t="n">
        <v>134204836</v>
      </c>
      <c r="E551" s="0" t="n">
        <v>134204836</v>
      </c>
      <c r="F551" s="0" t="s">
        <v>39</v>
      </c>
      <c r="G551" s="0" t="s">
        <v>200</v>
      </c>
      <c r="H551" s="0" t="s">
        <v>2917</v>
      </c>
      <c r="I551" s="0" t="s">
        <v>1072</v>
      </c>
      <c r="J551" s="0" t="s">
        <v>2918</v>
      </c>
      <c r="K551" s="0" t="s">
        <v>46</v>
      </c>
      <c r="L551" s="0" t="s">
        <v>46</v>
      </c>
      <c r="M551" s="0" t="str">
        <f aca="false">HYPERLINK("https://www.genecards.org/Search/Keyword?queryString=%5Baliases%5D(%20ANAPC13%20)%20OR%20%5Baliases%5D(%20CEP63%20)&amp;keywords=ANAPC13,CEP63", "ANAPC13;CEP63")</f>
        <v>ANAPC13;CEP63</v>
      </c>
      <c r="N551" s="0" t="s">
        <v>2919</v>
      </c>
      <c r="O551" s="0" t="s">
        <v>46</v>
      </c>
      <c r="P551" s="0" t="s">
        <v>2920</v>
      </c>
      <c r="Q551" s="0" t="n">
        <v>-1</v>
      </c>
      <c r="R551" s="0" t="n">
        <v>-1</v>
      </c>
      <c r="S551" s="0" t="n">
        <v>-1</v>
      </c>
      <c r="T551" s="0" t="n">
        <v>-1</v>
      </c>
      <c r="U551" s="0" t="n">
        <v>-1</v>
      </c>
      <c r="V551" s="0" t="s">
        <v>46</v>
      </c>
      <c r="W551" s="0" t="s">
        <v>46</v>
      </c>
      <c r="X551" s="0" t="s">
        <v>46</v>
      </c>
      <c r="Y551" s="0" t="s">
        <v>46</v>
      </c>
      <c r="Z551" s="0" t="s">
        <v>46</v>
      </c>
      <c r="AA551" s="0" t="s">
        <v>46</v>
      </c>
      <c r="AB551" s="0" t="s">
        <v>46</v>
      </c>
      <c r="AC551" s="0" t="s">
        <v>207</v>
      </c>
      <c r="AD551" s="0" t="s">
        <v>437</v>
      </c>
      <c r="AE551" s="0" t="s">
        <v>2921</v>
      </c>
      <c r="AF551" s="0" t="s">
        <v>2922</v>
      </c>
      <c r="AG551" s="0" t="s">
        <v>2923</v>
      </c>
      <c r="AH551" s="0" t="s">
        <v>2924</v>
      </c>
      <c r="AI551" s="0" t="s">
        <v>46</v>
      </c>
      <c r="AJ551" s="0" t="s">
        <v>46</v>
      </c>
      <c r="AK551" s="0" t="s">
        <v>46</v>
      </c>
      <c r="AL551" s="0" t="s">
        <v>46</v>
      </c>
    </row>
    <row r="552" customFormat="false" ht="15" hidden="false" customHeight="false" outlineLevel="0" collapsed="false">
      <c r="B552" s="0" t="str">
        <f aca="false">HYPERLINK("https://genome.ucsc.edu/cgi-bin/hgTracks?db=hg19&amp;position=chr3%3A193272447%2D193272452", "chr3:193272447")</f>
        <v>chr3:193272447</v>
      </c>
      <c r="C552" s="0" t="s">
        <v>309</v>
      </c>
      <c r="D552" s="0" t="n">
        <v>193272447</v>
      </c>
      <c r="E552" s="0" t="n">
        <v>193272452</v>
      </c>
      <c r="F552" s="0" t="s">
        <v>2925</v>
      </c>
      <c r="G552" s="0" t="s">
        <v>200</v>
      </c>
      <c r="H552" s="0" t="s">
        <v>2926</v>
      </c>
      <c r="I552" s="0" t="s">
        <v>1103</v>
      </c>
      <c r="J552" s="0" t="s">
        <v>2927</v>
      </c>
      <c r="K552" s="0" t="s">
        <v>46</v>
      </c>
      <c r="L552" s="0" t="s">
        <v>46</v>
      </c>
      <c r="M552" s="0" t="str">
        <f aca="false">HYPERLINK("https://www.genecards.org/Search/Keyword?queryString=%5Baliases%5D(%20ATP13A4%20)%20OR%20%5Baliases%5D(%20ATP13A4-AS1%20)&amp;keywords=ATP13A4,ATP13A4-AS1", "ATP13A4;ATP13A4-AS1")</f>
        <v>ATP13A4;ATP13A4-AS1</v>
      </c>
      <c r="N552" s="0" t="s">
        <v>1261</v>
      </c>
      <c r="O552" s="0" t="s">
        <v>46</v>
      </c>
      <c r="P552" s="0" t="s">
        <v>46</v>
      </c>
      <c r="Q552" s="0" t="n">
        <v>-1</v>
      </c>
      <c r="R552" s="0" t="n">
        <v>-1</v>
      </c>
      <c r="S552" s="0" t="n">
        <v>-1</v>
      </c>
      <c r="T552" s="0" t="n">
        <v>-1</v>
      </c>
      <c r="U552" s="0" t="n">
        <v>-1</v>
      </c>
      <c r="V552" s="0" t="s">
        <v>46</v>
      </c>
      <c r="W552" s="0" t="s">
        <v>46</v>
      </c>
      <c r="X552" s="0" t="s">
        <v>46</v>
      </c>
      <c r="Y552" s="0" t="s">
        <v>46</v>
      </c>
      <c r="Z552" s="0" t="s">
        <v>46</v>
      </c>
      <c r="AA552" s="0" t="s">
        <v>46</v>
      </c>
      <c r="AB552" s="0" t="s">
        <v>46</v>
      </c>
      <c r="AC552" s="0" t="s">
        <v>207</v>
      </c>
      <c r="AD552" s="0" t="s">
        <v>437</v>
      </c>
      <c r="AE552" s="0" t="s">
        <v>2928</v>
      </c>
      <c r="AF552" s="0" t="s">
        <v>2929</v>
      </c>
      <c r="AG552" s="0" t="s">
        <v>46</v>
      </c>
      <c r="AH552" s="0" t="s">
        <v>2930</v>
      </c>
      <c r="AI552" s="0" t="s">
        <v>46</v>
      </c>
      <c r="AJ552" s="0" t="s">
        <v>46</v>
      </c>
      <c r="AK552" s="0" t="s">
        <v>46</v>
      </c>
      <c r="AL552" s="0" t="s">
        <v>46</v>
      </c>
    </row>
    <row r="553" customFormat="false" ht="15" hidden="false" customHeight="false" outlineLevel="0" collapsed="false">
      <c r="B553" s="0" t="str">
        <f aca="false">HYPERLINK("https://genome.ucsc.edu/cgi-bin/hgTracks?db=hg19&amp;position=chr4%3A1388350%2D1388350", "chr4:1388350")</f>
        <v>chr4:1388350</v>
      </c>
      <c r="C553" s="0" t="s">
        <v>245</v>
      </c>
      <c r="D553" s="0" t="n">
        <v>1388350</v>
      </c>
      <c r="E553" s="0" t="n">
        <v>1388350</v>
      </c>
      <c r="F553" s="0" t="s">
        <v>200</v>
      </c>
      <c r="G553" s="0" t="s">
        <v>2931</v>
      </c>
      <c r="H553" s="0" t="s">
        <v>2932</v>
      </c>
      <c r="I553" s="0" t="s">
        <v>605</v>
      </c>
      <c r="J553" s="0" t="s">
        <v>2933</v>
      </c>
      <c r="K553" s="0" t="s">
        <v>46</v>
      </c>
      <c r="L553" s="0" t="str">
        <f aca="false">HYPERLINK("https://www.ncbi.nlm.nih.gov/snp/rs750778284", "rs750778284")</f>
        <v>rs750778284</v>
      </c>
      <c r="M553" s="0" t="str">
        <f aca="false">HYPERLINK("https://www.genecards.org/Search/Keyword?queryString=%5Baliases%5D(%20CRIPAK%20)&amp;keywords=CRIPAK", "CRIPAK")</f>
        <v>CRIPAK</v>
      </c>
      <c r="N553" s="0" t="s">
        <v>2934</v>
      </c>
      <c r="O553" s="0" t="s">
        <v>2206</v>
      </c>
      <c r="P553" s="0" t="s">
        <v>2935</v>
      </c>
      <c r="Q553" s="0" t="n">
        <v>0.0010543</v>
      </c>
      <c r="R553" s="0" t="n">
        <v>-1</v>
      </c>
      <c r="S553" s="0" t="n">
        <v>-1</v>
      </c>
      <c r="T553" s="0" t="n">
        <v>-1</v>
      </c>
      <c r="U553" s="0" t="n">
        <v>-1</v>
      </c>
      <c r="V553" s="0" t="s">
        <v>46</v>
      </c>
      <c r="W553" s="0" t="s">
        <v>46</v>
      </c>
      <c r="X553" s="0" t="s">
        <v>46</v>
      </c>
      <c r="Y553" s="0" t="s">
        <v>46</v>
      </c>
      <c r="Z553" s="0" t="s">
        <v>46</v>
      </c>
      <c r="AA553" s="0" t="s">
        <v>46</v>
      </c>
      <c r="AB553" s="0" t="s">
        <v>46</v>
      </c>
      <c r="AC553" s="0" t="s">
        <v>51</v>
      </c>
      <c r="AD553" s="0" t="s">
        <v>856</v>
      </c>
      <c r="AE553" s="0" t="s">
        <v>2936</v>
      </c>
      <c r="AF553" s="0" t="s">
        <v>2937</v>
      </c>
      <c r="AG553" s="0" t="s">
        <v>2938</v>
      </c>
      <c r="AH553" s="0" t="s">
        <v>46</v>
      </c>
      <c r="AI553" s="0" t="s">
        <v>46</v>
      </c>
      <c r="AJ553" s="0" t="s">
        <v>46</v>
      </c>
      <c r="AK553" s="0" t="s">
        <v>46</v>
      </c>
      <c r="AL553" s="0" t="s">
        <v>46</v>
      </c>
    </row>
    <row r="554" customFormat="false" ht="15" hidden="false" customHeight="false" outlineLevel="0" collapsed="false">
      <c r="B554" s="0" t="str">
        <f aca="false">HYPERLINK("https://genome.ucsc.edu/cgi-bin/hgTracks?db=hg19&amp;position=chr4%3A1388756%2D1388756", "chr4:1388756")</f>
        <v>chr4:1388756</v>
      </c>
      <c r="C554" s="0" t="s">
        <v>245</v>
      </c>
      <c r="D554" s="0" t="n">
        <v>1388756</v>
      </c>
      <c r="E554" s="0" t="n">
        <v>1388756</v>
      </c>
      <c r="F554" s="0" t="s">
        <v>200</v>
      </c>
      <c r="G554" s="0" t="s">
        <v>2939</v>
      </c>
      <c r="H554" s="0" t="s">
        <v>2940</v>
      </c>
      <c r="I554" s="0" t="s">
        <v>288</v>
      </c>
      <c r="J554" s="0" t="s">
        <v>2941</v>
      </c>
      <c r="K554" s="0" t="s">
        <v>46</v>
      </c>
      <c r="L554" s="0" t="s">
        <v>46</v>
      </c>
      <c r="M554" s="0" t="str">
        <f aca="false">HYPERLINK("https://www.genecards.org/Search/Keyword?queryString=%5Baliases%5D(%20CRIPAK%20)&amp;keywords=CRIPAK", "CRIPAK")</f>
        <v>CRIPAK</v>
      </c>
      <c r="N554" s="0" t="s">
        <v>2934</v>
      </c>
      <c r="O554" s="0" t="s">
        <v>2206</v>
      </c>
      <c r="P554" s="0" t="s">
        <v>2942</v>
      </c>
      <c r="Q554" s="0" t="n">
        <v>6.507E-005</v>
      </c>
      <c r="R554" s="0" t="n">
        <v>-1</v>
      </c>
      <c r="S554" s="0" t="n">
        <v>-1</v>
      </c>
      <c r="T554" s="0" t="n">
        <v>-1</v>
      </c>
      <c r="U554" s="0" t="n">
        <v>-1</v>
      </c>
      <c r="V554" s="0" t="s">
        <v>46</v>
      </c>
      <c r="W554" s="0" t="s">
        <v>46</v>
      </c>
      <c r="X554" s="0" t="s">
        <v>46</v>
      </c>
      <c r="Y554" s="0" t="s">
        <v>46</v>
      </c>
      <c r="Z554" s="0" t="s">
        <v>46</v>
      </c>
      <c r="AA554" s="0" t="s">
        <v>46</v>
      </c>
      <c r="AB554" s="0" t="s">
        <v>46</v>
      </c>
      <c r="AC554" s="0" t="s">
        <v>51</v>
      </c>
      <c r="AD554" s="0" t="s">
        <v>856</v>
      </c>
      <c r="AE554" s="0" t="s">
        <v>2936</v>
      </c>
      <c r="AF554" s="0" t="s">
        <v>2937</v>
      </c>
      <c r="AG554" s="0" t="s">
        <v>2938</v>
      </c>
      <c r="AH554" s="0" t="s">
        <v>46</v>
      </c>
      <c r="AI554" s="0" t="s">
        <v>802</v>
      </c>
      <c r="AJ554" s="0" t="s">
        <v>46</v>
      </c>
      <c r="AK554" s="0" t="s">
        <v>46</v>
      </c>
      <c r="AL554" s="0" t="s">
        <v>46</v>
      </c>
    </row>
    <row r="555" customFormat="false" ht="15" hidden="false" customHeight="false" outlineLevel="0" collapsed="false">
      <c r="B555" s="0" t="str">
        <f aca="false">HYPERLINK("https://genome.ucsc.edu/cgi-bin/hgTracks?db=hg19&amp;position=chr4%3A5990869%2D5990870", "chr4:5990869")</f>
        <v>chr4:5990869</v>
      </c>
      <c r="C555" s="0" t="s">
        <v>245</v>
      </c>
      <c r="D555" s="0" t="n">
        <v>5990869</v>
      </c>
      <c r="E555" s="0" t="n">
        <v>5990870</v>
      </c>
      <c r="F555" s="0" t="s">
        <v>2943</v>
      </c>
      <c r="G555" s="0" t="s">
        <v>200</v>
      </c>
      <c r="H555" s="0" t="s">
        <v>2944</v>
      </c>
      <c r="I555" s="0" t="s">
        <v>237</v>
      </c>
      <c r="J555" s="0" t="s">
        <v>2945</v>
      </c>
      <c r="K555" s="0" t="s">
        <v>46</v>
      </c>
      <c r="L555" s="0" t="str">
        <f aca="false">HYPERLINK("https://www.ncbi.nlm.nih.gov/snp/rs143859826", "rs143859826")</f>
        <v>rs143859826</v>
      </c>
      <c r="M555" s="0" t="str">
        <f aca="false">HYPERLINK("https://www.genecards.org/Search/Keyword?queryString=%5Baliases%5D(%20C4orf50%20)%20OR%20%5Baliases%5D(%20FLJ46481%20)&amp;keywords=C4orf50,FLJ46481", "C4orf50;FLJ46481")</f>
        <v>C4orf50;FLJ46481</v>
      </c>
      <c r="N555" s="0" t="s">
        <v>2946</v>
      </c>
      <c r="O555" s="0" t="s">
        <v>2265</v>
      </c>
      <c r="P555" s="0" t="s">
        <v>2947</v>
      </c>
      <c r="Q555" s="0" t="n">
        <v>0.0107</v>
      </c>
      <c r="R555" s="0" t="n">
        <v>0.0016</v>
      </c>
      <c r="S555" s="0" t="n">
        <v>7.591E-005</v>
      </c>
      <c r="T555" s="0" t="n">
        <v>-1</v>
      </c>
      <c r="U555" s="0" t="n">
        <v>0.0002</v>
      </c>
      <c r="V555" s="0" t="s">
        <v>46</v>
      </c>
      <c r="W555" s="0" t="s">
        <v>46</v>
      </c>
      <c r="X555" s="0" t="s">
        <v>46</v>
      </c>
      <c r="Y555" s="0" t="s">
        <v>46</v>
      </c>
      <c r="Z555" s="0" t="s">
        <v>46</v>
      </c>
      <c r="AA555" s="0" t="s">
        <v>46</v>
      </c>
      <c r="AB555" s="0" t="s">
        <v>46</v>
      </c>
      <c r="AC555" s="0" t="s">
        <v>51</v>
      </c>
      <c r="AD555" s="0" t="s">
        <v>437</v>
      </c>
      <c r="AE555" s="0" t="s">
        <v>2948</v>
      </c>
      <c r="AF555" s="0" t="s">
        <v>2949</v>
      </c>
      <c r="AG555" s="0" t="s">
        <v>46</v>
      </c>
      <c r="AH555" s="0" t="s">
        <v>46</v>
      </c>
      <c r="AI555" s="0" t="s">
        <v>46</v>
      </c>
      <c r="AJ555" s="0" t="s">
        <v>46</v>
      </c>
      <c r="AK555" s="0" t="s">
        <v>46</v>
      </c>
      <c r="AL555" s="0" t="s">
        <v>46</v>
      </c>
    </row>
    <row r="556" customFormat="false" ht="15" hidden="false" customHeight="false" outlineLevel="0" collapsed="false">
      <c r="B556" s="0" t="str">
        <f aca="false">HYPERLINK("https://genome.ucsc.edu/cgi-bin/hgTracks?db=hg19&amp;position=chr4%3A109755588%2D109755588", "chr4:109755588")</f>
        <v>chr4:109755588</v>
      </c>
      <c r="C556" s="0" t="s">
        <v>245</v>
      </c>
      <c r="D556" s="0" t="n">
        <v>109755588</v>
      </c>
      <c r="E556" s="0" t="n">
        <v>109755588</v>
      </c>
      <c r="F556" s="0" t="s">
        <v>69</v>
      </c>
      <c r="G556" s="0" t="s">
        <v>57</v>
      </c>
      <c r="H556" s="0" t="s">
        <v>1407</v>
      </c>
      <c r="I556" s="0" t="s">
        <v>133</v>
      </c>
      <c r="J556" s="0" t="s">
        <v>2494</v>
      </c>
      <c r="K556" s="0" t="s">
        <v>46</v>
      </c>
      <c r="L556" s="0" t="str">
        <f aca="false">HYPERLINK("https://www.ncbi.nlm.nih.gov/snp/rs189783848", "rs189783848")</f>
        <v>rs189783848</v>
      </c>
      <c r="M556" s="0" t="str">
        <f aca="false">HYPERLINK("https://www.genecards.org/Search/Keyword?queryString=%5Baliases%5D(%20COL25A1%20)&amp;keywords=COL25A1", "COL25A1")</f>
        <v>COL25A1</v>
      </c>
      <c r="N556" s="0" t="s">
        <v>62</v>
      </c>
      <c r="O556" s="0" t="s">
        <v>46</v>
      </c>
      <c r="P556" s="0" t="s">
        <v>46</v>
      </c>
      <c r="Q556" s="0" t="n">
        <v>0.0106</v>
      </c>
      <c r="R556" s="0" t="n">
        <v>0.0109</v>
      </c>
      <c r="S556" s="0" t="n">
        <v>0.0106</v>
      </c>
      <c r="T556" s="0" t="n">
        <v>-1</v>
      </c>
      <c r="U556" s="0" t="n">
        <v>0.0119</v>
      </c>
      <c r="V556" s="0" t="s">
        <v>46</v>
      </c>
      <c r="W556" s="0" t="s">
        <v>46</v>
      </c>
      <c r="X556" s="0" t="s">
        <v>999</v>
      </c>
      <c r="Y556" s="0" t="s">
        <v>64</v>
      </c>
      <c r="Z556" s="0" t="s">
        <v>46</v>
      </c>
      <c r="AA556" s="0" t="s">
        <v>46</v>
      </c>
      <c r="AB556" s="0" t="s">
        <v>46</v>
      </c>
      <c r="AC556" s="0" t="s">
        <v>51</v>
      </c>
      <c r="AD556" s="0" t="s">
        <v>52</v>
      </c>
      <c r="AE556" s="0" t="s">
        <v>2950</v>
      </c>
      <c r="AF556" s="0" t="s">
        <v>2951</v>
      </c>
      <c r="AG556" s="0" t="s">
        <v>2952</v>
      </c>
      <c r="AH556" s="0" t="s">
        <v>2953</v>
      </c>
      <c r="AI556" s="0" t="s">
        <v>46</v>
      </c>
      <c r="AJ556" s="0" t="s">
        <v>46</v>
      </c>
      <c r="AK556" s="0" t="s">
        <v>46</v>
      </c>
      <c r="AL556" s="0" t="s">
        <v>46</v>
      </c>
    </row>
    <row r="557" customFormat="false" ht="15" hidden="false" customHeight="false" outlineLevel="0" collapsed="false">
      <c r="B557" s="0" t="str">
        <f aca="false">HYPERLINK("https://genome.ucsc.edu/cgi-bin/hgTracks?db=hg19&amp;position=chr4%3A113539789%2D113539789", "chr4:113539789")</f>
        <v>chr4:113539789</v>
      </c>
      <c r="C557" s="0" t="s">
        <v>245</v>
      </c>
      <c r="D557" s="0" t="n">
        <v>113539789</v>
      </c>
      <c r="E557" s="0" t="n">
        <v>113539789</v>
      </c>
      <c r="F557" s="0" t="s">
        <v>40</v>
      </c>
      <c r="G557" s="0" t="s">
        <v>200</v>
      </c>
      <c r="H557" s="0" t="s">
        <v>2954</v>
      </c>
      <c r="I557" s="0" t="s">
        <v>434</v>
      </c>
      <c r="J557" s="0" t="s">
        <v>1336</v>
      </c>
      <c r="K557" s="0" t="s">
        <v>46</v>
      </c>
      <c r="L557" s="0" t="s">
        <v>46</v>
      </c>
      <c r="M557" s="0" t="str">
        <f aca="false">HYPERLINK("https://www.genecards.org/Search/Keyword?queryString=%5Baliases%5D(%20C4orf21%20)%20OR%20%5Baliases%5D(%20ZGRF1%20)&amp;keywords=C4orf21,ZGRF1", "C4orf21;ZGRF1")</f>
        <v>C4orf21;ZGRF1</v>
      </c>
      <c r="N557" s="0" t="s">
        <v>98</v>
      </c>
      <c r="O557" s="0" t="s">
        <v>2265</v>
      </c>
      <c r="P557" s="0" t="s">
        <v>2955</v>
      </c>
      <c r="Q557" s="0" t="n">
        <v>-1</v>
      </c>
      <c r="R557" s="0" t="n">
        <v>-1</v>
      </c>
      <c r="S557" s="0" t="n">
        <v>-1</v>
      </c>
      <c r="T557" s="0" t="n">
        <v>-1</v>
      </c>
      <c r="U557" s="0" t="n">
        <v>-1</v>
      </c>
      <c r="V557" s="0" t="s">
        <v>46</v>
      </c>
      <c r="W557" s="0" t="s">
        <v>46</v>
      </c>
      <c r="X557" s="0" t="s">
        <v>46</v>
      </c>
      <c r="Y557" s="0" t="s">
        <v>46</v>
      </c>
      <c r="Z557" s="0" t="s">
        <v>46</v>
      </c>
      <c r="AA557" s="0" t="s">
        <v>46</v>
      </c>
      <c r="AB557" s="0" t="s">
        <v>46</v>
      </c>
      <c r="AC557" s="0" t="s">
        <v>51</v>
      </c>
      <c r="AD557" s="0" t="s">
        <v>437</v>
      </c>
      <c r="AE557" s="0" t="s">
        <v>46</v>
      </c>
      <c r="AF557" s="0" t="s">
        <v>2956</v>
      </c>
      <c r="AG557" s="0" t="s">
        <v>46</v>
      </c>
      <c r="AH557" s="0" t="s">
        <v>46</v>
      </c>
      <c r="AI557" s="0" t="s">
        <v>46</v>
      </c>
      <c r="AJ557" s="0" t="s">
        <v>46</v>
      </c>
      <c r="AK557" s="0" t="s">
        <v>46</v>
      </c>
      <c r="AL557" s="0" t="s">
        <v>46</v>
      </c>
    </row>
    <row r="558" customFormat="false" ht="15" hidden="false" customHeight="false" outlineLevel="0" collapsed="false">
      <c r="B558" s="0" t="str">
        <f aca="false">HYPERLINK("https://genome.ucsc.edu/cgi-bin/hgTracks?db=hg19&amp;position=chr4%3A159636787%2D159636788", "chr4:159636787")</f>
        <v>chr4:159636787</v>
      </c>
      <c r="C558" s="0" t="s">
        <v>245</v>
      </c>
      <c r="D558" s="0" t="n">
        <v>159636787</v>
      </c>
      <c r="E558" s="0" t="n">
        <v>159636788</v>
      </c>
      <c r="F558" s="0" t="s">
        <v>2957</v>
      </c>
      <c r="G558" s="0" t="s">
        <v>200</v>
      </c>
      <c r="H558" s="0" t="s">
        <v>2958</v>
      </c>
      <c r="I558" s="0" t="s">
        <v>1468</v>
      </c>
      <c r="J558" s="0" t="s">
        <v>1840</v>
      </c>
      <c r="K558" s="0" t="s">
        <v>46</v>
      </c>
      <c r="L558" s="0" t="str">
        <f aca="false">HYPERLINK("https://www.ncbi.nlm.nih.gov/snp/rs780923833", "rs780923833")</f>
        <v>rs780923833</v>
      </c>
      <c r="M558" s="0" t="str">
        <f aca="false">HYPERLINK("https://www.genecards.org/Search/Keyword?queryString=%5Baliases%5D(%20PPID%20)&amp;keywords=PPID", "PPID")</f>
        <v>PPID</v>
      </c>
      <c r="N558" s="0" t="s">
        <v>98</v>
      </c>
      <c r="O558" s="0" t="s">
        <v>2265</v>
      </c>
      <c r="P558" s="0" t="s">
        <v>2959</v>
      </c>
      <c r="Q558" s="0" t="n">
        <v>0.0018</v>
      </c>
      <c r="R558" s="0" t="n">
        <v>9.016E-005</v>
      </c>
      <c r="S558" s="0" t="n">
        <v>7.34E-005</v>
      </c>
      <c r="T558" s="0" t="n">
        <v>-1</v>
      </c>
      <c r="U558" s="0" t="n">
        <v>0.0002</v>
      </c>
      <c r="V558" s="0" t="s">
        <v>46</v>
      </c>
      <c r="W558" s="0" t="s">
        <v>46</v>
      </c>
      <c r="X558" s="0" t="s">
        <v>46</v>
      </c>
      <c r="Y558" s="0" t="s">
        <v>46</v>
      </c>
      <c r="Z558" s="0" t="s">
        <v>46</v>
      </c>
      <c r="AA558" s="0" t="s">
        <v>46</v>
      </c>
      <c r="AB558" s="0" t="s">
        <v>46</v>
      </c>
      <c r="AC558" s="0" t="s">
        <v>51</v>
      </c>
      <c r="AD558" s="0" t="s">
        <v>52</v>
      </c>
      <c r="AE558" s="0" t="s">
        <v>2960</v>
      </c>
      <c r="AF558" s="0" t="s">
        <v>2961</v>
      </c>
      <c r="AG558" s="0" t="s">
        <v>2962</v>
      </c>
      <c r="AH558" s="0" t="s">
        <v>46</v>
      </c>
      <c r="AI558" s="0" t="s">
        <v>46</v>
      </c>
      <c r="AJ558" s="0" t="s">
        <v>46</v>
      </c>
      <c r="AK558" s="0" t="s">
        <v>46</v>
      </c>
      <c r="AL558" s="0" t="s">
        <v>46</v>
      </c>
    </row>
    <row r="559" customFormat="false" ht="15" hidden="false" customHeight="false" outlineLevel="0" collapsed="false">
      <c r="B559" s="0" t="str">
        <f aca="false">HYPERLINK("https://genome.ucsc.edu/cgi-bin/hgTracks?db=hg19&amp;position=chr4%3A187026557%2D187026557", "chr4:187026557")</f>
        <v>chr4:187026557</v>
      </c>
      <c r="C559" s="0" t="s">
        <v>245</v>
      </c>
      <c r="D559" s="0" t="n">
        <v>187026557</v>
      </c>
      <c r="E559" s="0" t="n">
        <v>187026557</v>
      </c>
      <c r="F559" s="0" t="s">
        <v>200</v>
      </c>
      <c r="G559" s="0" t="s">
        <v>40</v>
      </c>
      <c r="H559" s="0" t="s">
        <v>2963</v>
      </c>
      <c r="I559" s="0" t="s">
        <v>413</v>
      </c>
      <c r="J559" s="0" t="s">
        <v>2964</v>
      </c>
      <c r="K559" s="0" t="s">
        <v>46</v>
      </c>
      <c r="L559" s="0" t="str">
        <f aca="false">HYPERLINK("https://www.ncbi.nlm.nih.gov/snp/rs199623729", "rs199623729")</f>
        <v>rs199623729</v>
      </c>
      <c r="M559" s="0" t="str">
        <f aca="false">HYPERLINK("https://www.genecards.org/Search/Keyword?queryString=%5Baliases%5D(%20FAM149A%20)&amp;keywords=FAM149A", "FAM149A")</f>
        <v>FAM149A</v>
      </c>
      <c r="N559" s="0" t="s">
        <v>1306</v>
      </c>
      <c r="O559" s="0" t="s">
        <v>2206</v>
      </c>
      <c r="P559" s="0" t="s">
        <v>2965</v>
      </c>
      <c r="Q559" s="0" t="n">
        <v>0.0243</v>
      </c>
      <c r="R559" s="0" t="n">
        <v>0.0152</v>
      </c>
      <c r="S559" s="0" t="n">
        <v>0.0155</v>
      </c>
      <c r="T559" s="0" t="n">
        <v>-1</v>
      </c>
      <c r="U559" s="0" t="n">
        <v>0.0137</v>
      </c>
      <c r="V559" s="0" t="s">
        <v>46</v>
      </c>
      <c r="W559" s="0" t="s">
        <v>46</v>
      </c>
      <c r="X559" s="0" t="s">
        <v>46</v>
      </c>
      <c r="Y559" s="0" t="s">
        <v>46</v>
      </c>
      <c r="Z559" s="0" t="s">
        <v>46</v>
      </c>
      <c r="AA559" s="0" t="s">
        <v>46</v>
      </c>
      <c r="AB559" s="0" t="s">
        <v>46</v>
      </c>
      <c r="AC559" s="0" t="s">
        <v>51</v>
      </c>
      <c r="AD559" s="0" t="s">
        <v>52</v>
      </c>
      <c r="AE559" s="0" t="s">
        <v>2966</v>
      </c>
      <c r="AF559" s="0" t="s">
        <v>2967</v>
      </c>
      <c r="AG559" s="0" t="s">
        <v>46</v>
      </c>
      <c r="AH559" s="0" t="s">
        <v>46</v>
      </c>
      <c r="AI559" s="0" t="s">
        <v>46</v>
      </c>
      <c r="AJ559" s="0" t="s">
        <v>46</v>
      </c>
      <c r="AK559" s="0" t="s">
        <v>46</v>
      </c>
      <c r="AL559" s="0" t="s">
        <v>46</v>
      </c>
    </row>
    <row r="560" customFormat="false" ht="15" hidden="false" customHeight="false" outlineLevel="0" collapsed="false">
      <c r="B560" s="0" t="str">
        <f aca="false">HYPERLINK("https://genome.ucsc.edu/cgi-bin/hgTracks?db=hg19&amp;position=chr5%3A74484349%2D74484349", "chr5:74484349")</f>
        <v>chr5:74484349</v>
      </c>
      <c r="C560" s="0" t="s">
        <v>109</v>
      </c>
      <c r="D560" s="0" t="n">
        <v>74484349</v>
      </c>
      <c r="E560" s="0" t="n">
        <v>74484349</v>
      </c>
      <c r="F560" s="0" t="s">
        <v>40</v>
      </c>
      <c r="G560" s="0" t="s">
        <v>200</v>
      </c>
      <c r="H560" s="0" t="s">
        <v>2783</v>
      </c>
      <c r="I560" s="0" t="s">
        <v>434</v>
      </c>
      <c r="J560" s="0" t="s">
        <v>1336</v>
      </c>
      <c r="K560" s="0" t="s">
        <v>46</v>
      </c>
      <c r="L560" s="0" t="s">
        <v>46</v>
      </c>
      <c r="M560" s="0" t="str">
        <f aca="false">HYPERLINK("https://www.genecards.org/Search/Keyword?queryString=%5Baliases%5D(%20ANKRD31%20)&amp;keywords=ANKRD31", "ANKRD31")</f>
        <v>ANKRD31</v>
      </c>
      <c r="N560" s="0" t="s">
        <v>98</v>
      </c>
      <c r="O560" s="0" t="s">
        <v>2265</v>
      </c>
      <c r="P560" s="0" t="s">
        <v>2968</v>
      </c>
      <c r="Q560" s="0" t="n">
        <v>-1</v>
      </c>
      <c r="R560" s="0" t="n">
        <v>-1</v>
      </c>
      <c r="S560" s="0" t="n">
        <v>-1</v>
      </c>
      <c r="T560" s="0" t="n">
        <v>-1</v>
      </c>
      <c r="U560" s="0" t="n">
        <v>-1</v>
      </c>
      <c r="V560" s="0" t="s">
        <v>46</v>
      </c>
      <c r="W560" s="0" t="s">
        <v>46</v>
      </c>
      <c r="X560" s="0" t="s">
        <v>46</v>
      </c>
      <c r="Y560" s="0" t="s">
        <v>46</v>
      </c>
      <c r="Z560" s="0" t="s">
        <v>46</v>
      </c>
      <c r="AA560" s="0" t="s">
        <v>46</v>
      </c>
      <c r="AB560" s="0" t="s">
        <v>46</v>
      </c>
      <c r="AC560" s="0" t="s">
        <v>51</v>
      </c>
      <c r="AD560" s="0" t="s">
        <v>52</v>
      </c>
      <c r="AE560" s="0" t="s">
        <v>46</v>
      </c>
      <c r="AF560" s="0" t="s">
        <v>2969</v>
      </c>
      <c r="AG560" s="0" t="s">
        <v>46</v>
      </c>
      <c r="AH560" s="0" t="s">
        <v>46</v>
      </c>
      <c r="AI560" s="0" t="s">
        <v>46</v>
      </c>
      <c r="AJ560" s="0" t="s">
        <v>46</v>
      </c>
      <c r="AK560" s="0" t="s">
        <v>46</v>
      </c>
      <c r="AL560" s="0" t="s">
        <v>46</v>
      </c>
    </row>
    <row r="561" customFormat="false" ht="15" hidden="false" customHeight="false" outlineLevel="0" collapsed="false">
      <c r="B561" s="0" t="str">
        <f aca="false">HYPERLINK("https://genome.ucsc.edu/cgi-bin/hgTracks?db=hg19&amp;position=chr5%3A88018305%2D88018305", "chr5:88018305")</f>
        <v>chr5:88018305</v>
      </c>
      <c r="C561" s="0" t="s">
        <v>109</v>
      </c>
      <c r="D561" s="0" t="n">
        <v>88018305</v>
      </c>
      <c r="E561" s="0" t="n">
        <v>88018305</v>
      </c>
      <c r="F561" s="0" t="s">
        <v>200</v>
      </c>
      <c r="G561" s="0" t="s">
        <v>40</v>
      </c>
      <c r="H561" s="0" t="s">
        <v>2954</v>
      </c>
      <c r="I561" s="0" t="s">
        <v>413</v>
      </c>
      <c r="J561" s="0" t="s">
        <v>1260</v>
      </c>
      <c r="K561" s="0" t="s">
        <v>46</v>
      </c>
      <c r="L561" s="0" t="str">
        <f aca="false">HYPERLINK("https://www.ncbi.nlm.nih.gov/snp/rs1045046374", "rs1045046374")</f>
        <v>rs1045046374</v>
      </c>
      <c r="M561" s="0" t="str">
        <f aca="false">HYPERLINK("https://www.genecards.org/Search/Keyword?queryString=%5Baliases%5D(%20MEF2C%20)%20OR%20%5Baliases%5D(%20MEF2C-AS2%20)&amp;keywords=MEF2C,MEF2C-AS2", "MEF2C;MEF2C-AS2")</f>
        <v>MEF2C;MEF2C-AS2</v>
      </c>
      <c r="N561" s="0" t="s">
        <v>86</v>
      </c>
      <c r="O561" s="0" t="s">
        <v>46</v>
      </c>
      <c r="P561" s="0" t="s">
        <v>2970</v>
      </c>
      <c r="Q561" s="0" t="n">
        <v>0.0049</v>
      </c>
      <c r="R561" s="0" t="n">
        <v>0.002</v>
      </c>
      <c r="S561" s="0" t="n">
        <v>0.0025</v>
      </c>
      <c r="T561" s="0" t="n">
        <v>-1</v>
      </c>
      <c r="U561" s="0" t="n">
        <v>0.0096</v>
      </c>
      <c r="V561" s="0" t="s">
        <v>46</v>
      </c>
      <c r="W561" s="0" t="s">
        <v>46</v>
      </c>
      <c r="X561" s="0" t="s">
        <v>46</v>
      </c>
      <c r="Y561" s="0" t="s">
        <v>46</v>
      </c>
      <c r="Z561" s="0" t="s">
        <v>46</v>
      </c>
      <c r="AA561" s="0" t="s">
        <v>46</v>
      </c>
      <c r="AB561" s="0" t="s">
        <v>46</v>
      </c>
      <c r="AC561" s="0" t="s">
        <v>51</v>
      </c>
      <c r="AD561" s="0" t="s">
        <v>437</v>
      </c>
      <c r="AE561" s="0" t="s">
        <v>2971</v>
      </c>
      <c r="AF561" s="0" t="s">
        <v>2972</v>
      </c>
      <c r="AG561" s="0" t="s">
        <v>2973</v>
      </c>
      <c r="AH561" s="0" t="s">
        <v>2974</v>
      </c>
      <c r="AI561" s="0" t="s">
        <v>46</v>
      </c>
      <c r="AJ561" s="0" t="s">
        <v>46</v>
      </c>
      <c r="AK561" s="0" t="s">
        <v>46</v>
      </c>
      <c r="AL561" s="0" t="s">
        <v>46</v>
      </c>
    </row>
    <row r="562" customFormat="false" ht="15" hidden="false" customHeight="false" outlineLevel="0" collapsed="false">
      <c r="B562" s="0" t="str">
        <f aca="false">HYPERLINK("https://genome.ucsc.edu/cgi-bin/hgTracks?db=hg19&amp;position=chr5%3A95748237%2D95748237", "chr5:95748237")</f>
        <v>chr5:95748237</v>
      </c>
      <c r="C562" s="0" t="s">
        <v>109</v>
      </c>
      <c r="D562" s="0" t="n">
        <v>95748237</v>
      </c>
      <c r="E562" s="0" t="n">
        <v>95748237</v>
      </c>
      <c r="F562" s="0" t="s">
        <v>69</v>
      </c>
      <c r="G562" s="0" t="s">
        <v>57</v>
      </c>
      <c r="H562" s="0" t="s">
        <v>2452</v>
      </c>
      <c r="I562" s="0" t="s">
        <v>95</v>
      </c>
      <c r="J562" s="0" t="s">
        <v>2975</v>
      </c>
      <c r="K562" s="0" t="s">
        <v>46</v>
      </c>
      <c r="L562" s="0" t="str">
        <f aca="false">HYPERLINK("https://www.ncbi.nlm.nih.gov/snp/rs151041146", "rs151041146")</f>
        <v>rs151041146</v>
      </c>
      <c r="M562" s="0" t="str">
        <f aca="false">HYPERLINK("https://www.genecards.org/Search/Keyword?queryString=%5Baliases%5D(%20LOC101929710%20)%20OR%20%5Baliases%5D(%20PCSK1%20)&amp;keywords=LOC101929710,PCSK1", "LOC101929710;PCSK1")</f>
        <v>LOC101929710;PCSK1</v>
      </c>
      <c r="N562" s="0" t="s">
        <v>2213</v>
      </c>
      <c r="O562" s="0" t="s">
        <v>46</v>
      </c>
      <c r="P562" s="0" t="s">
        <v>46</v>
      </c>
      <c r="Q562" s="0" t="n">
        <v>0.0224</v>
      </c>
      <c r="R562" s="0" t="n">
        <v>0.0107</v>
      </c>
      <c r="S562" s="0" t="n">
        <v>0.0104</v>
      </c>
      <c r="T562" s="0" t="n">
        <v>-1</v>
      </c>
      <c r="U562" s="0" t="n">
        <v>0.0134</v>
      </c>
      <c r="V562" s="0" t="s">
        <v>46</v>
      </c>
      <c r="W562" s="0" t="s">
        <v>46</v>
      </c>
      <c r="X562" s="0" t="s">
        <v>63</v>
      </c>
      <c r="Y562" s="0" t="s">
        <v>64</v>
      </c>
      <c r="Z562" s="0" t="s">
        <v>46</v>
      </c>
      <c r="AA562" s="0" t="s">
        <v>46</v>
      </c>
      <c r="AB562" s="0" t="s">
        <v>46</v>
      </c>
      <c r="AC562" s="0" t="s">
        <v>51</v>
      </c>
      <c r="AD562" s="0" t="s">
        <v>437</v>
      </c>
      <c r="AE562" s="0" t="s">
        <v>2976</v>
      </c>
      <c r="AF562" s="0" t="s">
        <v>2977</v>
      </c>
      <c r="AG562" s="0" t="s">
        <v>2978</v>
      </c>
      <c r="AH562" s="0" t="s">
        <v>2979</v>
      </c>
      <c r="AI562" s="0" t="s">
        <v>46</v>
      </c>
      <c r="AJ562" s="0" t="s">
        <v>46</v>
      </c>
      <c r="AK562" s="0" t="s">
        <v>46</v>
      </c>
      <c r="AL562" s="0" t="s">
        <v>46</v>
      </c>
    </row>
    <row r="563" customFormat="false" ht="15" hidden="false" customHeight="false" outlineLevel="0" collapsed="false">
      <c r="B563" s="0" t="str">
        <f aca="false">HYPERLINK("https://genome.ucsc.edu/cgi-bin/hgTracks?db=hg19&amp;position=chr5%3A118483029%2D118483029", "chr5:118483029")</f>
        <v>chr5:118483029</v>
      </c>
      <c r="C563" s="0" t="s">
        <v>109</v>
      </c>
      <c r="D563" s="0" t="n">
        <v>118483029</v>
      </c>
      <c r="E563" s="0" t="n">
        <v>118483029</v>
      </c>
      <c r="F563" s="0" t="s">
        <v>40</v>
      </c>
      <c r="G563" s="0" t="s">
        <v>200</v>
      </c>
      <c r="H563" s="0" t="s">
        <v>2205</v>
      </c>
      <c r="I563" s="0" t="s">
        <v>421</v>
      </c>
      <c r="J563" s="0" t="s">
        <v>861</v>
      </c>
      <c r="K563" s="0" t="s">
        <v>46</v>
      </c>
      <c r="L563" s="0" t="s">
        <v>46</v>
      </c>
      <c r="M563" s="0" t="str">
        <f aca="false">HYPERLINK("https://www.genecards.org/Search/Keyword?queryString=%5Baliases%5D(%20DMXL1%20)&amp;keywords=DMXL1", "DMXL1")</f>
        <v>DMXL1</v>
      </c>
      <c r="N563" s="0" t="s">
        <v>98</v>
      </c>
      <c r="O563" s="0" t="s">
        <v>2265</v>
      </c>
      <c r="P563" s="0" t="s">
        <v>2980</v>
      </c>
      <c r="Q563" s="0" t="n">
        <v>-1</v>
      </c>
      <c r="R563" s="0" t="n">
        <v>-1</v>
      </c>
      <c r="S563" s="0" t="n">
        <v>-1</v>
      </c>
      <c r="T563" s="0" t="n">
        <v>-1</v>
      </c>
      <c r="U563" s="0" t="n">
        <v>-1</v>
      </c>
      <c r="V563" s="0" t="s">
        <v>46</v>
      </c>
      <c r="W563" s="0" t="s">
        <v>46</v>
      </c>
      <c r="X563" s="0" t="s">
        <v>46</v>
      </c>
      <c r="Y563" s="0" t="s">
        <v>46</v>
      </c>
      <c r="Z563" s="0" t="s">
        <v>46</v>
      </c>
      <c r="AA563" s="0" t="s">
        <v>46</v>
      </c>
      <c r="AB563" s="0" t="s">
        <v>46</v>
      </c>
      <c r="AC563" s="0" t="s">
        <v>51</v>
      </c>
      <c r="AD563" s="0" t="s">
        <v>52</v>
      </c>
      <c r="AE563" s="0" t="s">
        <v>2981</v>
      </c>
      <c r="AF563" s="0" t="s">
        <v>2982</v>
      </c>
      <c r="AG563" s="0" t="s">
        <v>46</v>
      </c>
      <c r="AH563" s="0" t="s">
        <v>46</v>
      </c>
      <c r="AI563" s="0" t="s">
        <v>46</v>
      </c>
      <c r="AJ563" s="0" t="s">
        <v>46</v>
      </c>
      <c r="AK563" s="0" t="s">
        <v>46</v>
      </c>
      <c r="AL563" s="0" t="s">
        <v>46</v>
      </c>
    </row>
    <row r="564" customFormat="false" ht="15" hidden="false" customHeight="false" outlineLevel="0" collapsed="false">
      <c r="B564" s="0" t="str">
        <f aca="false">HYPERLINK("https://genome.ucsc.edu/cgi-bin/hgTracks?db=hg19&amp;position=chr5%3A137213166%2D137213166", "chr5:137213166")</f>
        <v>chr5:137213166</v>
      </c>
      <c r="C564" s="0" t="s">
        <v>109</v>
      </c>
      <c r="D564" s="0" t="n">
        <v>137213166</v>
      </c>
      <c r="E564" s="0" t="n">
        <v>137213166</v>
      </c>
      <c r="F564" s="0" t="s">
        <v>40</v>
      </c>
      <c r="G564" s="0" t="s">
        <v>39</v>
      </c>
      <c r="H564" s="0" t="s">
        <v>2983</v>
      </c>
      <c r="I564" s="0" t="s">
        <v>111</v>
      </c>
      <c r="J564" s="0" t="s">
        <v>907</v>
      </c>
      <c r="K564" s="0" t="s">
        <v>46</v>
      </c>
      <c r="L564" s="0" t="s">
        <v>46</v>
      </c>
      <c r="M564" s="0" t="str">
        <f aca="false">HYPERLINK("https://www.genecards.org/Search/Keyword?queryString=%5Baliases%5D(%20MYOT%20)&amp;keywords=MYOT", "MYOT")</f>
        <v>MYOT</v>
      </c>
      <c r="N564" s="0" t="s">
        <v>2213</v>
      </c>
      <c r="O564" s="0" t="s">
        <v>46</v>
      </c>
      <c r="P564" s="0" t="s">
        <v>46</v>
      </c>
      <c r="Q564" s="0" t="n">
        <v>-1</v>
      </c>
      <c r="R564" s="0" t="n">
        <v>-1</v>
      </c>
      <c r="S564" s="0" t="n">
        <v>-1</v>
      </c>
      <c r="T564" s="0" t="n">
        <v>-1</v>
      </c>
      <c r="U564" s="0" t="n">
        <v>-1</v>
      </c>
      <c r="V564" s="0" t="s">
        <v>46</v>
      </c>
      <c r="W564" s="0" t="s">
        <v>46</v>
      </c>
      <c r="X564" s="0" t="s">
        <v>63</v>
      </c>
      <c r="Y564" s="0" t="s">
        <v>64</v>
      </c>
      <c r="Z564" s="0" t="s">
        <v>46</v>
      </c>
      <c r="AA564" s="0" t="s">
        <v>46</v>
      </c>
      <c r="AB564" s="0" t="s">
        <v>46</v>
      </c>
      <c r="AC564" s="0" t="s">
        <v>51</v>
      </c>
      <c r="AD564" s="0" t="s">
        <v>52</v>
      </c>
      <c r="AE564" s="0" t="s">
        <v>2984</v>
      </c>
      <c r="AF564" s="0" t="s">
        <v>2985</v>
      </c>
      <c r="AG564" s="0" t="s">
        <v>2986</v>
      </c>
      <c r="AH564" s="0" t="s">
        <v>2987</v>
      </c>
      <c r="AI564" s="0" t="s">
        <v>46</v>
      </c>
      <c r="AJ564" s="0" t="s">
        <v>46</v>
      </c>
      <c r="AK564" s="0" t="s">
        <v>46</v>
      </c>
      <c r="AL564" s="0" t="s">
        <v>46</v>
      </c>
    </row>
    <row r="565" customFormat="false" ht="15" hidden="false" customHeight="false" outlineLevel="0" collapsed="false">
      <c r="B565" s="0" t="str">
        <f aca="false">HYPERLINK("https://genome.ucsc.edu/cgi-bin/hgTracks?db=hg19&amp;position=chr6%3A6266704%2D6266704", "chr6:6266704")</f>
        <v>chr6:6266704</v>
      </c>
      <c r="C565" s="0" t="s">
        <v>164</v>
      </c>
      <c r="D565" s="0" t="n">
        <v>6266704</v>
      </c>
      <c r="E565" s="0" t="n">
        <v>6266704</v>
      </c>
      <c r="F565" s="0" t="s">
        <v>39</v>
      </c>
      <c r="G565" s="0" t="s">
        <v>40</v>
      </c>
      <c r="H565" s="0" t="s">
        <v>2988</v>
      </c>
      <c r="I565" s="0" t="s">
        <v>527</v>
      </c>
      <c r="J565" s="0" t="s">
        <v>2989</v>
      </c>
      <c r="K565" s="0" t="s">
        <v>46</v>
      </c>
      <c r="L565" s="0" t="str">
        <f aca="false">HYPERLINK("https://www.ncbi.nlm.nih.gov/snp/rs546357482", "rs546357482")</f>
        <v>rs546357482</v>
      </c>
      <c r="M565" s="0" t="str">
        <f aca="false">HYPERLINK("https://www.genecards.org/Search/Keyword?queryString=%5Baliases%5D(%20F13A1%20)&amp;keywords=F13A1", "F13A1")</f>
        <v>F13A1</v>
      </c>
      <c r="N565" s="0" t="s">
        <v>62</v>
      </c>
      <c r="O565" s="0" t="s">
        <v>46</v>
      </c>
      <c r="P565" s="0" t="s">
        <v>46</v>
      </c>
      <c r="Q565" s="0" t="n">
        <v>0.0115</v>
      </c>
      <c r="R565" s="0" t="n">
        <v>0.0056</v>
      </c>
      <c r="S565" s="0" t="n">
        <v>0.0059</v>
      </c>
      <c r="T565" s="0" t="n">
        <v>-1</v>
      </c>
      <c r="U565" s="0" t="n">
        <v>0.0056</v>
      </c>
      <c r="V565" s="0" t="s">
        <v>46</v>
      </c>
      <c r="W565" s="0" t="s">
        <v>46</v>
      </c>
      <c r="X565" s="0" t="s">
        <v>999</v>
      </c>
      <c r="Y565" s="0" t="s">
        <v>64</v>
      </c>
      <c r="Z565" s="0" t="s">
        <v>46</v>
      </c>
      <c r="AA565" s="0" t="s">
        <v>46</v>
      </c>
      <c r="AB565" s="0" t="s">
        <v>46</v>
      </c>
      <c r="AC565" s="0" t="s">
        <v>51</v>
      </c>
      <c r="AD565" s="0" t="s">
        <v>52</v>
      </c>
      <c r="AE565" s="0" t="s">
        <v>2990</v>
      </c>
      <c r="AF565" s="0" t="s">
        <v>2991</v>
      </c>
      <c r="AG565" s="0" t="s">
        <v>2992</v>
      </c>
      <c r="AH565" s="0" t="s">
        <v>2993</v>
      </c>
      <c r="AI565" s="0" t="s">
        <v>46</v>
      </c>
      <c r="AJ565" s="0" t="s">
        <v>46</v>
      </c>
      <c r="AK565" s="0" t="s">
        <v>46</v>
      </c>
      <c r="AL565" s="0" t="s">
        <v>46</v>
      </c>
    </row>
    <row r="566" customFormat="false" ht="15" hidden="false" customHeight="false" outlineLevel="0" collapsed="false">
      <c r="B566" s="0" t="str">
        <f aca="false">HYPERLINK("https://genome.ucsc.edu/cgi-bin/hgTracks?db=hg19&amp;position=chr6%3A28500202%2D28500202", "chr6:28500202")</f>
        <v>chr6:28500202</v>
      </c>
      <c r="C566" s="0" t="s">
        <v>164</v>
      </c>
      <c r="D566" s="0" t="n">
        <v>28500202</v>
      </c>
      <c r="E566" s="0" t="n">
        <v>28500202</v>
      </c>
      <c r="F566" s="0" t="s">
        <v>69</v>
      </c>
      <c r="G566" s="0" t="s">
        <v>39</v>
      </c>
      <c r="H566" s="0" t="s">
        <v>1721</v>
      </c>
      <c r="I566" s="0" t="s">
        <v>111</v>
      </c>
      <c r="J566" s="0" t="s">
        <v>907</v>
      </c>
      <c r="K566" s="0" t="s">
        <v>46</v>
      </c>
      <c r="L566" s="0" t="str">
        <f aca="false">HYPERLINK("https://www.ncbi.nlm.nih.gov/snp/rs151120438", "rs151120438")</f>
        <v>rs151120438</v>
      </c>
      <c r="M566" s="0" t="str">
        <f aca="false">HYPERLINK("https://www.genecards.org/Search/Keyword?queryString=%5Baliases%5D(%20GPX5%20)&amp;keywords=GPX5", "GPX5")</f>
        <v>GPX5</v>
      </c>
      <c r="N566" s="0" t="s">
        <v>62</v>
      </c>
      <c r="O566" s="0" t="s">
        <v>46</v>
      </c>
      <c r="P566" s="0" t="s">
        <v>46</v>
      </c>
      <c r="Q566" s="0" t="n">
        <v>0.0276</v>
      </c>
      <c r="R566" s="0" t="n">
        <v>0.0063</v>
      </c>
      <c r="S566" s="0" t="n">
        <v>0.0063</v>
      </c>
      <c r="T566" s="0" t="n">
        <v>-1</v>
      </c>
      <c r="U566" s="0" t="n">
        <v>0.006</v>
      </c>
      <c r="V566" s="0" t="s">
        <v>46</v>
      </c>
      <c r="W566" s="0" t="s">
        <v>999</v>
      </c>
      <c r="X566" s="0" t="s">
        <v>999</v>
      </c>
      <c r="Y566" s="0" t="s">
        <v>2214</v>
      </c>
      <c r="Z566" s="0" t="s">
        <v>46</v>
      </c>
      <c r="AA566" s="0" t="s">
        <v>46</v>
      </c>
      <c r="AB566" s="0" t="s">
        <v>46</v>
      </c>
      <c r="AC566" s="0" t="s">
        <v>51</v>
      </c>
      <c r="AD566" s="0" t="s">
        <v>52</v>
      </c>
      <c r="AE566" s="0" t="s">
        <v>2994</v>
      </c>
      <c r="AF566" s="0" t="s">
        <v>2995</v>
      </c>
      <c r="AG566" s="0" t="s">
        <v>2996</v>
      </c>
      <c r="AH566" s="0" t="s">
        <v>46</v>
      </c>
      <c r="AI566" s="0" t="s">
        <v>46</v>
      </c>
      <c r="AJ566" s="0" t="s">
        <v>46</v>
      </c>
      <c r="AK566" s="0" t="s">
        <v>175</v>
      </c>
      <c r="AL566" s="0" t="s">
        <v>46</v>
      </c>
    </row>
    <row r="567" customFormat="false" ht="15" hidden="false" customHeight="false" outlineLevel="0" collapsed="false">
      <c r="B567" s="0" t="str">
        <f aca="false">HYPERLINK("https://genome.ucsc.edu/cgi-bin/hgTracks?db=hg19&amp;position=chr6%3A30890653%2D30890655", "chr6:30890653")</f>
        <v>chr6:30890653</v>
      </c>
      <c r="C567" s="0" t="s">
        <v>164</v>
      </c>
      <c r="D567" s="0" t="n">
        <v>30890653</v>
      </c>
      <c r="E567" s="0" t="n">
        <v>30890655</v>
      </c>
      <c r="F567" s="0" t="s">
        <v>2997</v>
      </c>
      <c r="G567" s="0" t="s">
        <v>200</v>
      </c>
      <c r="H567" s="0" t="s">
        <v>2998</v>
      </c>
      <c r="I567" s="0" t="s">
        <v>1121</v>
      </c>
      <c r="J567" s="0" t="s">
        <v>2999</v>
      </c>
      <c r="K567" s="0" t="s">
        <v>46</v>
      </c>
      <c r="L567" s="0" t="str">
        <f aca="false">HYPERLINK("https://www.ncbi.nlm.nih.gov/snp/rs540706100", "rs540706100")</f>
        <v>rs540706100</v>
      </c>
      <c r="M567" s="0" t="str">
        <f aca="false">HYPERLINK("https://www.genecards.org/Search/Keyword?queryString=%5Baliases%5D(%20VARS2%20)&amp;keywords=VARS2", "VARS2")</f>
        <v>VARS2</v>
      </c>
      <c r="N567" s="0" t="s">
        <v>2213</v>
      </c>
      <c r="O567" s="0" t="s">
        <v>46</v>
      </c>
      <c r="P567" s="0" t="s">
        <v>46</v>
      </c>
      <c r="Q567" s="0" t="n">
        <v>0.0129</v>
      </c>
      <c r="R567" s="0" t="n">
        <v>0.01</v>
      </c>
      <c r="S567" s="0" t="n">
        <v>0.0106</v>
      </c>
      <c r="T567" s="0" t="n">
        <v>-1</v>
      </c>
      <c r="U567" s="0" t="n">
        <v>0.0105</v>
      </c>
      <c r="V567" s="0" t="s">
        <v>46</v>
      </c>
      <c r="W567" s="0" t="s">
        <v>46</v>
      </c>
      <c r="X567" s="0" t="s">
        <v>46</v>
      </c>
      <c r="Y567" s="0" t="s">
        <v>46</v>
      </c>
      <c r="Z567" s="0" t="s">
        <v>46</v>
      </c>
      <c r="AA567" s="0" t="s">
        <v>46</v>
      </c>
      <c r="AB567" s="0" t="s">
        <v>46</v>
      </c>
      <c r="AC567" s="0" t="s">
        <v>51</v>
      </c>
      <c r="AD567" s="0" t="s">
        <v>52</v>
      </c>
      <c r="AE567" s="0" t="s">
        <v>3000</v>
      </c>
      <c r="AF567" s="0" t="s">
        <v>3001</v>
      </c>
      <c r="AG567" s="0" t="s">
        <v>46</v>
      </c>
      <c r="AH567" s="0" t="s">
        <v>3002</v>
      </c>
      <c r="AI567" s="0" t="s">
        <v>46</v>
      </c>
      <c r="AJ567" s="0" t="s">
        <v>46</v>
      </c>
      <c r="AK567" s="0" t="s">
        <v>175</v>
      </c>
      <c r="AL567" s="0" t="s">
        <v>46</v>
      </c>
    </row>
    <row r="568" customFormat="false" ht="15" hidden="false" customHeight="false" outlineLevel="0" collapsed="false">
      <c r="B568" s="0" t="str">
        <f aca="false">HYPERLINK("https://genome.ucsc.edu/cgi-bin/hgTracks?db=hg19&amp;position=chr6%3A31380161%2D31380161", "chr6:31380161")</f>
        <v>chr6:31380161</v>
      </c>
      <c r="C568" s="0" t="s">
        <v>164</v>
      </c>
      <c r="D568" s="0" t="n">
        <v>31380161</v>
      </c>
      <c r="E568" s="0" t="n">
        <v>31380161</v>
      </c>
      <c r="F568" s="0" t="s">
        <v>69</v>
      </c>
      <c r="G568" s="0" t="s">
        <v>2558</v>
      </c>
      <c r="H568" s="0" t="s">
        <v>3003</v>
      </c>
      <c r="I568" s="0" t="s">
        <v>1278</v>
      </c>
      <c r="J568" s="0" t="s">
        <v>3004</v>
      </c>
      <c r="K568" s="0" t="s">
        <v>46</v>
      </c>
      <c r="L568" s="0" t="s">
        <v>46</v>
      </c>
      <c r="M568" s="0" t="str">
        <f aca="false">HYPERLINK("https://www.genecards.org/Search/Keyword?queryString=%5Baliases%5D(%20MICA%20)&amp;keywords=MICA", "MICA")</f>
        <v>MICA</v>
      </c>
      <c r="N568" s="0" t="s">
        <v>3005</v>
      </c>
      <c r="O568" s="0" t="s">
        <v>46</v>
      </c>
      <c r="P568" s="0" t="s">
        <v>3006</v>
      </c>
      <c r="Q568" s="0" t="n">
        <v>-1</v>
      </c>
      <c r="R568" s="0" t="n">
        <v>-1</v>
      </c>
      <c r="S568" s="0" t="n">
        <v>-1</v>
      </c>
      <c r="T568" s="0" t="n">
        <v>-1</v>
      </c>
      <c r="U568" s="0" t="n">
        <v>-1</v>
      </c>
      <c r="V568" s="0" t="s">
        <v>46</v>
      </c>
      <c r="W568" s="0" t="s">
        <v>46</v>
      </c>
      <c r="X568" s="0" t="s">
        <v>46</v>
      </c>
      <c r="Y568" s="0" t="s">
        <v>46</v>
      </c>
      <c r="Z568" s="0" t="s">
        <v>46</v>
      </c>
      <c r="AA568" s="0" t="s">
        <v>46</v>
      </c>
      <c r="AB568" s="0" t="s">
        <v>46</v>
      </c>
      <c r="AC568" s="0" t="s">
        <v>207</v>
      </c>
      <c r="AD568" s="0" t="s">
        <v>52</v>
      </c>
      <c r="AE568" s="0" t="s">
        <v>3007</v>
      </c>
      <c r="AF568" s="0" t="s">
        <v>3008</v>
      </c>
      <c r="AG568" s="0" t="s">
        <v>3009</v>
      </c>
      <c r="AH568" s="0" t="s">
        <v>3010</v>
      </c>
      <c r="AI568" s="0" t="s">
        <v>46</v>
      </c>
      <c r="AJ568" s="0" t="s">
        <v>46</v>
      </c>
      <c r="AK568" s="0" t="s">
        <v>175</v>
      </c>
      <c r="AL568" s="0" t="s">
        <v>46</v>
      </c>
    </row>
    <row r="569" customFormat="false" ht="15" hidden="false" customHeight="false" outlineLevel="0" collapsed="false">
      <c r="B569" s="0" t="str">
        <f aca="false">HYPERLINK("https://genome.ucsc.edu/cgi-bin/hgTracks?db=hg19&amp;position=chr6%3A31737347%2D31737347", "chr6:31737347")</f>
        <v>chr6:31737347</v>
      </c>
      <c r="C569" s="0" t="s">
        <v>164</v>
      </c>
      <c r="D569" s="0" t="n">
        <v>31737347</v>
      </c>
      <c r="E569" s="0" t="n">
        <v>31737347</v>
      </c>
      <c r="F569" s="0" t="s">
        <v>69</v>
      </c>
      <c r="G569" s="0" t="s">
        <v>39</v>
      </c>
      <c r="H569" s="0" t="s">
        <v>3011</v>
      </c>
      <c r="I569" s="0" t="s">
        <v>547</v>
      </c>
      <c r="J569" s="0" t="s">
        <v>1007</v>
      </c>
      <c r="K569" s="0" t="s">
        <v>46</v>
      </c>
      <c r="L569" s="0" t="str">
        <f aca="false">HYPERLINK("https://www.ncbi.nlm.nih.gov/snp/rs150209214", "rs150209214")</f>
        <v>rs150209214</v>
      </c>
      <c r="M569" s="0" t="str">
        <f aca="false">HYPERLINK("https://www.genecards.org/Search/Keyword?queryString=%5Baliases%5D(%20VWA7%20)&amp;keywords=VWA7", "VWA7")</f>
        <v>VWA7</v>
      </c>
      <c r="N569" s="0" t="s">
        <v>62</v>
      </c>
      <c r="O569" s="0" t="s">
        <v>46</v>
      </c>
      <c r="P569" s="0" t="s">
        <v>46</v>
      </c>
      <c r="Q569" s="0" t="n">
        <v>0.0086</v>
      </c>
      <c r="R569" s="0" t="n">
        <v>0.0086</v>
      </c>
      <c r="S569" s="0" t="n">
        <v>0.0089</v>
      </c>
      <c r="T569" s="0" t="n">
        <v>-1</v>
      </c>
      <c r="U569" s="0" t="n">
        <v>0.0083</v>
      </c>
      <c r="V569" s="0" t="s">
        <v>46</v>
      </c>
      <c r="W569" s="0" t="s">
        <v>46</v>
      </c>
      <c r="X569" s="0" t="s">
        <v>999</v>
      </c>
      <c r="Y569" s="0" t="s">
        <v>64</v>
      </c>
      <c r="Z569" s="0" t="s">
        <v>46</v>
      </c>
      <c r="AA569" s="0" t="s">
        <v>46</v>
      </c>
      <c r="AB569" s="0" t="s">
        <v>46</v>
      </c>
      <c r="AC569" s="0" t="s">
        <v>51</v>
      </c>
      <c r="AD569" s="0" t="s">
        <v>52</v>
      </c>
      <c r="AE569" s="0" t="s">
        <v>3012</v>
      </c>
      <c r="AF569" s="0" t="s">
        <v>3013</v>
      </c>
      <c r="AG569" s="0" t="s">
        <v>46</v>
      </c>
      <c r="AH569" s="0" t="s">
        <v>46</v>
      </c>
      <c r="AI569" s="0" t="s">
        <v>46</v>
      </c>
      <c r="AJ569" s="0" t="s">
        <v>46</v>
      </c>
      <c r="AK569" s="0" t="s">
        <v>175</v>
      </c>
      <c r="AL569" s="0" t="s">
        <v>46</v>
      </c>
    </row>
    <row r="570" customFormat="false" ht="15" hidden="false" customHeight="false" outlineLevel="0" collapsed="false">
      <c r="B570" s="0" t="str">
        <f aca="false">HYPERLINK("https://genome.ucsc.edu/cgi-bin/hgTracks?db=hg19&amp;position=chr6%3A56456965%2D56456965", "chr6:56456965")</f>
        <v>chr6:56456965</v>
      </c>
      <c r="C570" s="0" t="s">
        <v>164</v>
      </c>
      <c r="D570" s="0" t="n">
        <v>56456965</v>
      </c>
      <c r="E570" s="0" t="n">
        <v>56456965</v>
      </c>
      <c r="F570" s="0" t="s">
        <v>40</v>
      </c>
      <c r="G570" s="0" t="s">
        <v>39</v>
      </c>
      <c r="H570" s="0" t="s">
        <v>3014</v>
      </c>
      <c r="I570" s="0" t="s">
        <v>413</v>
      </c>
      <c r="J570" s="0" t="s">
        <v>2292</v>
      </c>
      <c r="K570" s="0" t="s">
        <v>46</v>
      </c>
      <c r="L570" s="0" t="str">
        <f aca="false">HYPERLINK("https://www.ncbi.nlm.nih.gov/snp/rs747670088", "rs747670088")</f>
        <v>rs747670088</v>
      </c>
      <c r="M570" s="0" t="str">
        <f aca="false">HYPERLINK("https://www.genecards.org/Search/Keyword?queryString=%5Baliases%5D(%20DST%20)&amp;keywords=DST", "DST")</f>
        <v>DST</v>
      </c>
      <c r="N570" s="0" t="s">
        <v>62</v>
      </c>
      <c r="O570" s="0" t="s">
        <v>46</v>
      </c>
      <c r="P570" s="0" t="s">
        <v>46</v>
      </c>
      <c r="Q570" s="0" t="n">
        <v>0.000821</v>
      </c>
      <c r="R570" s="0" t="n">
        <v>9.033E-005</v>
      </c>
      <c r="S570" s="0" t="n">
        <v>7.351E-005</v>
      </c>
      <c r="T570" s="0" t="n">
        <v>-1</v>
      </c>
      <c r="U570" s="0" t="n">
        <v>0.0002</v>
      </c>
      <c r="V570" s="0" t="s">
        <v>46</v>
      </c>
      <c r="W570" s="0" t="s">
        <v>46</v>
      </c>
      <c r="X570" s="0" t="s">
        <v>999</v>
      </c>
      <c r="Y570" s="0" t="s">
        <v>64</v>
      </c>
      <c r="Z570" s="0" t="s">
        <v>46</v>
      </c>
      <c r="AA570" s="0" t="s">
        <v>46</v>
      </c>
      <c r="AB570" s="0" t="s">
        <v>46</v>
      </c>
      <c r="AC570" s="0" t="s">
        <v>51</v>
      </c>
      <c r="AD570" s="0" t="s">
        <v>52</v>
      </c>
      <c r="AE570" s="0" t="s">
        <v>3015</v>
      </c>
      <c r="AF570" s="0" t="s">
        <v>3016</v>
      </c>
      <c r="AG570" s="0" t="s">
        <v>3017</v>
      </c>
      <c r="AH570" s="0" t="s">
        <v>3018</v>
      </c>
      <c r="AI570" s="0" t="s">
        <v>46</v>
      </c>
      <c r="AJ570" s="0" t="s">
        <v>46</v>
      </c>
      <c r="AK570" s="0" t="s">
        <v>46</v>
      </c>
      <c r="AL570" s="0" t="s">
        <v>46</v>
      </c>
    </row>
    <row r="571" customFormat="false" ht="15" hidden="false" customHeight="false" outlineLevel="0" collapsed="false">
      <c r="B571" s="0" t="str">
        <f aca="false">HYPERLINK("https://genome.ucsc.edu/cgi-bin/hgTracks?db=hg19&amp;position=chr6%3A123958105%2D123958105", "chr6:123958105")</f>
        <v>chr6:123958105</v>
      </c>
      <c r="C571" s="0" t="s">
        <v>164</v>
      </c>
      <c r="D571" s="0" t="n">
        <v>123958105</v>
      </c>
      <c r="E571" s="0" t="n">
        <v>123958105</v>
      </c>
      <c r="F571" s="0" t="s">
        <v>40</v>
      </c>
      <c r="G571" s="0" t="s">
        <v>39</v>
      </c>
      <c r="H571" s="0" t="s">
        <v>1500</v>
      </c>
      <c r="I571" s="0" t="s">
        <v>581</v>
      </c>
      <c r="J571" s="0" t="s">
        <v>919</v>
      </c>
      <c r="K571" s="0" t="s">
        <v>46</v>
      </c>
      <c r="L571" s="0" t="s">
        <v>46</v>
      </c>
      <c r="M571" s="0" t="str">
        <f aca="false">HYPERLINK("https://www.genecards.org/Search/Keyword?queryString=%5Baliases%5D(%20TRDN%20)&amp;keywords=TRDN", "TRDN")</f>
        <v>TRDN</v>
      </c>
      <c r="N571" s="0" t="s">
        <v>2188</v>
      </c>
      <c r="O571" s="0" t="s">
        <v>46</v>
      </c>
      <c r="P571" s="0" t="s">
        <v>3019</v>
      </c>
      <c r="Q571" s="0" t="n">
        <v>-1</v>
      </c>
      <c r="R571" s="0" t="n">
        <v>-1</v>
      </c>
      <c r="S571" s="0" t="n">
        <v>-1</v>
      </c>
      <c r="T571" s="0" t="n">
        <v>-1</v>
      </c>
      <c r="U571" s="0" t="n">
        <v>-1</v>
      </c>
      <c r="V571" s="0" t="s">
        <v>46</v>
      </c>
      <c r="W571" s="0" t="s">
        <v>46</v>
      </c>
      <c r="X571" s="0" t="s">
        <v>46</v>
      </c>
      <c r="Y571" s="0" t="s">
        <v>46</v>
      </c>
      <c r="Z571" s="0" t="s">
        <v>46</v>
      </c>
      <c r="AA571" s="0" t="s">
        <v>46</v>
      </c>
      <c r="AB571" s="0" t="s">
        <v>46</v>
      </c>
      <c r="AC571" s="0" t="s">
        <v>51</v>
      </c>
      <c r="AD571" s="0" t="s">
        <v>52</v>
      </c>
      <c r="AE571" s="0" t="s">
        <v>3020</v>
      </c>
      <c r="AF571" s="0" t="s">
        <v>3021</v>
      </c>
      <c r="AG571" s="0" t="s">
        <v>3022</v>
      </c>
      <c r="AH571" s="0" t="s">
        <v>3023</v>
      </c>
      <c r="AI571" s="0" t="s">
        <v>46</v>
      </c>
      <c r="AJ571" s="0" t="s">
        <v>46</v>
      </c>
      <c r="AK571" s="0" t="s">
        <v>46</v>
      </c>
      <c r="AL571" s="0" t="s">
        <v>46</v>
      </c>
    </row>
    <row r="572" customFormat="false" ht="15" hidden="false" customHeight="false" outlineLevel="0" collapsed="false">
      <c r="B572" s="0" t="str">
        <f aca="false">HYPERLINK("https://genome.ucsc.edu/cgi-bin/hgTracks?db=hg19&amp;position=chr6%3A129777733%2D129777733", "chr6:129777733")</f>
        <v>chr6:129777733</v>
      </c>
      <c r="C572" s="0" t="s">
        <v>164</v>
      </c>
      <c r="D572" s="0" t="n">
        <v>129777733</v>
      </c>
      <c r="E572" s="0" t="n">
        <v>129777733</v>
      </c>
      <c r="F572" s="0" t="s">
        <v>39</v>
      </c>
      <c r="G572" s="0" t="s">
        <v>69</v>
      </c>
      <c r="H572" s="0" t="s">
        <v>3024</v>
      </c>
      <c r="I572" s="0" t="s">
        <v>421</v>
      </c>
      <c r="J572" s="0" t="s">
        <v>1182</v>
      </c>
      <c r="K572" s="0" t="s">
        <v>46</v>
      </c>
      <c r="L572" s="0" t="str">
        <f aca="false">HYPERLINK("https://www.ncbi.nlm.nih.gov/snp/rs759055347", "rs759055347")</f>
        <v>rs759055347</v>
      </c>
      <c r="M572" s="0" t="str">
        <f aca="false">HYPERLINK("https://www.genecards.org/Search/Keyword?queryString=%5Baliases%5D(%20LAMA2%20)&amp;keywords=LAMA2", "LAMA2")</f>
        <v>LAMA2</v>
      </c>
      <c r="N572" s="0" t="s">
        <v>2213</v>
      </c>
      <c r="O572" s="0" t="s">
        <v>46</v>
      </c>
      <c r="P572" s="0" t="s">
        <v>46</v>
      </c>
      <c r="Q572" s="0" t="n">
        <v>0.0012</v>
      </c>
      <c r="R572" s="0" t="n">
        <v>0.0012</v>
      </c>
      <c r="S572" s="0" t="n">
        <v>0.0018</v>
      </c>
      <c r="T572" s="0" t="n">
        <v>-1</v>
      </c>
      <c r="U572" s="0" t="n">
        <v>0.0004</v>
      </c>
      <c r="V572" s="0" t="s">
        <v>46</v>
      </c>
      <c r="W572" s="0" t="s">
        <v>46</v>
      </c>
      <c r="X572" s="0" t="s">
        <v>63</v>
      </c>
      <c r="Y572" s="0" t="s">
        <v>64</v>
      </c>
      <c r="Z572" s="0" t="s">
        <v>46</v>
      </c>
      <c r="AA572" s="0" t="s">
        <v>46</v>
      </c>
      <c r="AB572" s="0" t="s">
        <v>46</v>
      </c>
      <c r="AC572" s="0" t="s">
        <v>51</v>
      </c>
      <c r="AD572" s="0" t="s">
        <v>52</v>
      </c>
      <c r="AE572" s="0" t="s">
        <v>3025</v>
      </c>
      <c r="AF572" s="0" t="s">
        <v>3026</v>
      </c>
      <c r="AG572" s="0" t="s">
        <v>1328</v>
      </c>
      <c r="AH572" s="0" t="s">
        <v>3027</v>
      </c>
      <c r="AI572" s="0" t="s">
        <v>46</v>
      </c>
      <c r="AJ572" s="0" t="s">
        <v>46</v>
      </c>
      <c r="AK572" s="0" t="s">
        <v>46</v>
      </c>
      <c r="AL572" s="0" t="s">
        <v>46</v>
      </c>
    </row>
    <row r="573" customFormat="false" ht="15" hidden="false" customHeight="false" outlineLevel="0" collapsed="false">
      <c r="B573" s="0" t="str">
        <f aca="false">HYPERLINK("https://genome.ucsc.edu/cgi-bin/hgTracks?db=hg19&amp;position=chr6%3A151270316%2D151270316", "chr6:151270316")</f>
        <v>chr6:151270316</v>
      </c>
      <c r="C573" s="0" t="s">
        <v>164</v>
      </c>
      <c r="D573" s="0" t="n">
        <v>151270316</v>
      </c>
      <c r="E573" s="0" t="n">
        <v>151270316</v>
      </c>
      <c r="F573" s="0" t="s">
        <v>39</v>
      </c>
      <c r="G573" s="0" t="s">
        <v>40</v>
      </c>
      <c r="H573" s="0" t="s">
        <v>3028</v>
      </c>
      <c r="I573" s="0" t="s">
        <v>288</v>
      </c>
      <c r="J573" s="0" t="s">
        <v>3029</v>
      </c>
      <c r="K573" s="0" t="s">
        <v>46</v>
      </c>
      <c r="L573" s="0" t="str">
        <f aca="false">HYPERLINK("https://www.ncbi.nlm.nih.gov/snp/rs144504420", "rs144504420")</f>
        <v>rs144504420</v>
      </c>
      <c r="M573" s="0" t="str">
        <f aca="false">HYPERLINK("https://www.genecards.org/Search/Keyword?queryString=%5Baliases%5D(%20MTHFD1L%20)&amp;keywords=MTHFD1L", "MTHFD1L")</f>
        <v>MTHFD1L</v>
      </c>
      <c r="N573" s="0" t="s">
        <v>62</v>
      </c>
      <c r="O573" s="0" t="s">
        <v>46</v>
      </c>
      <c r="P573" s="0" t="s">
        <v>46</v>
      </c>
      <c r="Q573" s="0" t="n">
        <v>0.0159</v>
      </c>
      <c r="R573" s="0" t="n">
        <v>0.0146</v>
      </c>
      <c r="S573" s="0" t="n">
        <v>0.0151</v>
      </c>
      <c r="T573" s="0" t="n">
        <v>-1</v>
      </c>
      <c r="U573" s="0" t="n">
        <v>0.013</v>
      </c>
      <c r="V573" s="0" t="s">
        <v>46</v>
      </c>
      <c r="W573" s="0" t="s">
        <v>46</v>
      </c>
      <c r="X573" s="0" t="s">
        <v>999</v>
      </c>
      <c r="Y573" s="0" t="s">
        <v>64</v>
      </c>
      <c r="Z573" s="0" t="s">
        <v>46</v>
      </c>
      <c r="AA573" s="0" t="s">
        <v>46</v>
      </c>
      <c r="AB573" s="0" t="s">
        <v>46</v>
      </c>
      <c r="AC573" s="0" t="s">
        <v>51</v>
      </c>
      <c r="AD573" s="0" t="s">
        <v>52</v>
      </c>
      <c r="AE573" s="0" t="s">
        <v>3030</v>
      </c>
      <c r="AF573" s="0" t="s">
        <v>3031</v>
      </c>
      <c r="AG573" s="0" t="s">
        <v>3032</v>
      </c>
      <c r="AH573" s="0" t="s">
        <v>46</v>
      </c>
      <c r="AI573" s="0" t="s">
        <v>46</v>
      </c>
      <c r="AJ573" s="0" t="s">
        <v>46</v>
      </c>
      <c r="AK573" s="0" t="s">
        <v>46</v>
      </c>
      <c r="AL573" s="0" t="s">
        <v>46</v>
      </c>
    </row>
    <row r="574" customFormat="false" ht="15" hidden="false" customHeight="false" outlineLevel="0" collapsed="false">
      <c r="B574" s="0" t="str">
        <f aca="false">HYPERLINK("https://genome.ucsc.edu/cgi-bin/hgTracks?db=hg19&amp;position=chr6%3A158356790%2D158356790", "chr6:158356790")</f>
        <v>chr6:158356790</v>
      </c>
      <c r="C574" s="0" t="s">
        <v>164</v>
      </c>
      <c r="D574" s="0" t="n">
        <v>158356790</v>
      </c>
      <c r="E574" s="0" t="n">
        <v>158356790</v>
      </c>
      <c r="F574" s="0" t="s">
        <v>69</v>
      </c>
      <c r="G574" s="0" t="s">
        <v>57</v>
      </c>
      <c r="H574" s="0" t="s">
        <v>2828</v>
      </c>
      <c r="I574" s="0" t="s">
        <v>559</v>
      </c>
      <c r="J574" s="0" t="s">
        <v>3033</v>
      </c>
      <c r="K574" s="0" t="s">
        <v>46</v>
      </c>
      <c r="L574" s="0" t="str">
        <f aca="false">HYPERLINK("https://www.ncbi.nlm.nih.gov/snp/rs780495142", "rs780495142")</f>
        <v>rs780495142</v>
      </c>
      <c r="M574" s="0" t="str">
        <f aca="false">HYPERLINK("https://www.genecards.org/Search/Keyword?queryString=%5Baliases%5D(%20SNX9%20)&amp;keywords=SNX9", "SNX9")</f>
        <v>SNX9</v>
      </c>
      <c r="N574" s="0" t="s">
        <v>62</v>
      </c>
      <c r="O574" s="0" t="s">
        <v>46</v>
      </c>
      <c r="P574" s="0" t="s">
        <v>46</v>
      </c>
      <c r="Q574" s="0" t="n">
        <v>0.0009</v>
      </c>
      <c r="R574" s="0" t="n">
        <v>0.0004</v>
      </c>
      <c r="S574" s="0" t="n">
        <v>0.0003</v>
      </c>
      <c r="T574" s="0" t="n">
        <v>-1</v>
      </c>
      <c r="U574" s="0" t="n">
        <v>0.0005</v>
      </c>
      <c r="V574" s="0" t="s">
        <v>46</v>
      </c>
      <c r="W574" s="0" t="s">
        <v>46</v>
      </c>
      <c r="X574" s="0" t="s">
        <v>2255</v>
      </c>
      <c r="Y574" s="0" t="s">
        <v>64</v>
      </c>
      <c r="Z574" s="0" t="s">
        <v>46</v>
      </c>
      <c r="AA574" s="0" t="s">
        <v>46</v>
      </c>
      <c r="AB574" s="0" t="s">
        <v>46</v>
      </c>
      <c r="AC574" s="0" t="s">
        <v>51</v>
      </c>
      <c r="AD574" s="0" t="s">
        <v>52</v>
      </c>
      <c r="AE574" s="0" t="s">
        <v>3034</v>
      </c>
      <c r="AF574" s="0" t="s">
        <v>3035</v>
      </c>
      <c r="AG574" s="0" t="s">
        <v>3036</v>
      </c>
      <c r="AH574" s="0" t="s">
        <v>46</v>
      </c>
      <c r="AI574" s="0" t="s">
        <v>46</v>
      </c>
      <c r="AJ574" s="0" t="s">
        <v>46</v>
      </c>
      <c r="AK574" s="0" t="s">
        <v>46</v>
      </c>
      <c r="AL574" s="0" t="s">
        <v>46</v>
      </c>
    </row>
    <row r="575" customFormat="false" ht="15" hidden="false" customHeight="false" outlineLevel="0" collapsed="false">
      <c r="B575" s="0" t="str">
        <f aca="false">HYPERLINK("https://genome.ucsc.edu/cgi-bin/hgTracks?db=hg19&amp;position=chr6%3A161653065%2D161653065", "chr6:161653065")</f>
        <v>chr6:161653065</v>
      </c>
      <c r="C575" s="0" t="s">
        <v>164</v>
      </c>
      <c r="D575" s="0" t="n">
        <v>161653065</v>
      </c>
      <c r="E575" s="0" t="n">
        <v>161653065</v>
      </c>
      <c r="F575" s="0" t="s">
        <v>40</v>
      </c>
      <c r="G575" s="0" t="s">
        <v>39</v>
      </c>
      <c r="H575" s="0" t="s">
        <v>3037</v>
      </c>
      <c r="I575" s="0" t="s">
        <v>1494</v>
      </c>
      <c r="J575" s="0" t="s">
        <v>2868</v>
      </c>
      <c r="K575" s="0" t="s">
        <v>46</v>
      </c>
      <c r="L575" s="0" t="str">
        <f aca="false">HYPERLINK("https://www.ncbi.nlm.nih.gov/snp/rs181886606", "rs181886606")</f>
        <v>rs181886606</v>
      </c>
      <c r="M575" s="0" t="str">
        <f aca="false">HYPERLINK("https://www.genecards.org/Search/Keyword?queryString=%5Baliases%5D(%20AGPAT4%20)&amp;keywords=AGPAT4", "AGPAT4")</f>
        <v>AGPAT4</v>
      </c>
      <c r="N575" s="0" t="s">
        <v>62</v>
      </c>
      <c r="O575" s="0" t="s">
        <v>46</v>
      </c>
      <c r="P575" s="0" t="s">
        <v>46</v>
      </c>
      <c r="Q575" s="0" t="n">
        <v>0.0213</v>
      </c>
      <c r="R575" s="0" t="n">
        <v>0.0038</v>
      </c>
      <c r="S575" s="0" t="n">
        <v>0.003</v>
      </c>
      <c r="T575" s="0" t="n">
        <v>-1</v>
      </c>
      <c r="U575" s="0" t="n">
        <v>0.0072</v>
      </c>
      <c r="V575" s="0" t="s">
        <v>46</v>
      </c>
      <c r="W575" s="0" t="s">
        <v>999</v>
      </c>
      <c r="X575" s="0" t="s">
        <v>999</v>
      </c>
      <c r="Y575" s="0" t="s">
        <v>2214</v>
      </c>
      <c r="Z575" s="0" t="s">
        <v>46</v>
      </c>
      <c r="AA575" s="0" t="s">
        <v>46</v>
      </c>
      <c r="AB575" s="0" t="s">
        <v>46</v>
      </c>
      <c r="AC575" s="0" t="s">
        <v>51</v>
      </c>
      <c r="AD575" s="0" t="s">
        <v>52</v>
      </c>
      <c r="AE575" s="0" t="s">
        <v>3038</v>
      </c>
      <c r="AF575" s="0" t="s">
        <v>3039</v>
      </c>
      <c r="AG575" s="0" t="s">
        <v>3040</v>
      </c>
      <c r="AH575" s="0" t="s">
        <v>46</v>
      </c>
      <c r="AI575" s="0" t="s">
        <v>46</v>
      </c>
      <c r="AJ575" s="0" t="s">
        <v>46</v>
      </c>
      <c r="AK575" s="0" t="s">
        <v>46</v>
      </c>
      <c r="AL575" s="0" t="s">
        <v>46</v>
      </c>
    </row>
    <row r="576" customFormat="false" ht="15" hidden="false" customHeight="false" outlineLevel="0" collapsed="false">
      <c r="B576" s="0" t="str">
        <f aca="false">HYPERLINK("https://genome.ucsc.edu/cgi-bin/hgTracks?db=hg19&amp;position=chr7%3A2854280%2D2854280", "chr7:2854280")</f>
        <v>chr7:2854280</v>
      </c>
      <c r="C576" s="0" t="s">
        <v>253</v>
      </c>
      <c r="D576" s="0" t="n">
        <v>2854280</v>
      </c>
      <c r="E576" s="0" t="n">
        <v>2854280</v>
      </c>
      <c r="F576" s="0" t="s">
        <v>40</v>
      </c>
      <c r="G576" s="0" t="s">
        <v>39</v>
      </c>
      <c r="H576" s="0" t="s">
        <v>3037</v>
      </c>
      <c r="I576" s="0" t="s">
        <v>311</v>
      </c>
      <c r="J576" s="0" t="s">
        <v>3041</v>
      </c>
      <c r="K576" s="0" t="s">
        <v>46</v>
      </c>
      <c r="L576" s="0" t="str">
        <f aca="false">HYPERLINK("https://www.ncbi.nlm.nih.gov/snp/rs867436959", "rs867436959")</f>
        <v>rs867436959</v>
      </c>
      <c r="M576" s="0" t="str">
        <f aca="false">HYPERLINK("https://www.genecards.org/Search/Keyword?queryString=%5Baliases%5D(%20GNA12%20)&amp;keywords=GNA12", "GNA12")</f>
        <v>GNA12</v>
      </c>
      <c r="N576" s="0" t="s">
        <v>62</v>
      </c>
      <c r="O576" s="0" t="s">
        <v>46</v>
      </c>
      <c r="P576" s="0" t="s">
        <v>46</v>
      </c>
      <c r="Q576" s="0" t="n">
        <v>0.0036</v>
      </c>
      <c r="R576" s="0" t="n">
        <v>0.0037</v>
      </c>
      <c r="S576" s="0" t="n">
        <v>0.0033</v>
      </c>
      <c r="T576" s="0" t="n">
        <v>-1</v>
      </c>
      <c r="U576" s="0" t="n">
        <v>0.0041</v>
      </c>
      <c r="V576" s="0" t="s">
        <v>46</v>
      </c>
      <c r="W576" s="0" t="s">
        <v>46</v>
      </c>
      <c r="X576" s="0" t="s">
        <v>999</v>
      </c>
      <c r="Y576" s="0" t="s">
        <v>64</v>
      </c>
      <c r="Z576" s="0" t="s">
        <v>46</v>
      </c>
      <c r="AA576" s="0" t="s">
        <v>46</v>
      </c>
      <c r="AB576" s="0" t="s">
        <v>46</v>
      </c>
      <c r="AC576" s="0" t="s">
        <v>51</v>
      </c>
      <c r="AD576" s="0" t="s">
        <v>52</v>
      </c>
      <c r="AE576" s="0" t="s">
        <v>3042</v>
      </c>
      <c r="AF576" s="0" t="s">
        <v>3043</v>
      </c>
      <c r="AG576" s="0" t="s">
        <v>3044</v>
      </c>
      <c r="AH576" s="0" t="s">
        <v>46</v>
      </c>
      <c r="AI576" s="0" t="s">
        <v>46</v>
      </c>
      <c r="AJ576" s="0" t="s">
        <v>46</v>
      </c>
      <c r="AK576" s="0" t="s">
        <v>46</v>
      </c>
      <c r="AL576" s="0" t="s">
        <v>46</v>
      </c>
    </row>
    <row r="577" customFormat="false" ht="15" hidden="false" customHeight="false" outlineLevel="0" collapsed="false">
      <c r="B577" s="0" t="str">
        <f aca="false">HYPERLINK("https://genome.ucsc.edu/cgi-bin/hgTracks?db=hg19&amp;position=chr7%3A2985364%2D2985365", "chr7:2985364")</f>
        <v>chr7:2985364</v>
      </c>
      <c r="C577" s="0" t="s">
        <v>253</v>
      </c>
      <c r="D577" s="0" t="n">
        <v>2985364</v>
      </c>
      <c r="E577" s="0" t="n">
        <v>2985365</v>
      </c>
      <c r="F577" s="0" t="s">
        <v>3045</v>
      </c>
      <c r="G577" s="0" t="s">
        <v>200</v>
      </c>
      <c r="H577" s="0" t="s">
        <v>3046</v>
      </c>
      <c r="I577" s="0" t="s">
        <v>178</v>
      </c>
      <c r="J577" s="0" t="s">
        <v>3047</v>
      </c>
      <c r="K577" s="0" t="s">
        <v>46</v>
      </c>
      <c r="L577" s="0" t="s">
        <v>46</v>
      </c>
      <c r="M577" s="0" t="str">
        <f aca="false">HYPERLINK("https://www.genecards.org/Search/Keyword?queryString=%5Baliases%5D(%20CARD11%20)&amp;keywords=CARD11", "CARD11")</f>
        <v>CARD11</v>
      </c>
      <c r="N577" s="0" t="s">
        <v>2213</v>
      </c>
      <c r="O577" s="0" t="s">
        <v>46</v>
      </c>
      <c r="P577" s="0" t="s">
        <v>46</v>
      </c>
      <c r="Q577" s="0" t="n">
        <v>-1</v>
      </c>
      <c r="R577" s="0" t="n">
        <v>-1</v>
      </c>
      <c r="S577" s="0" t="n">
        <v>-1</v>
      </c>
      <c r="T577" s="0" t="n">
        <v>-1</v>
      </c>
      <c r="U577" s="0" t="n">
        <v>-1</v>
      </c>
      <c r="V577" s="0" t="s">
        <v>46</v>
      </c>
      <c r="W577" s="0" t="s">
        <v>46</v>
      </c>
      <c r="X577" s="0" t="s">
        <v>46</v>
      </c>
      <c r="Y577" s="0" t="s">
        <v>46</v>
      </c>
      <c r="Z577" s="0" t="s">
        <v>46</v>
      </c>
      <c r="AA577" s="0" t="s">
        <v>46</v>
      </c>
      <c r="AB577" s="0" t="s">
        <v>46</v>
      </c>
      <c r="AC577" s="0" t="s">
        <v>207</v>
      </c>
      <c r="AD577" s="0" t="s">
        <v>52</v>
      </c>
      <c r="AE577" s="0" t="s">
        <v>3048</v>
      </c>
      <c r="AF577" s="0" t="s">
        <v>3049</v>
      </c>
      <c r="AG577" s="0" t="s">
        <v>3050</v>
      </c>
      <c r="AH577" s="0" t="s">
        <v>3051</v>
      </c>
      <c r="AI577" s="0" t="s">
        <v>46</v>
      </c>
      <c r="AJ577" s="0" t="s">
        <v>46</v>
      </c>
      <c r="AK577" s="0" t="s">
        <v>46</v>
      </c>
      <c r="AL577" s="0" t="s">
        <v>46</v>
      </c>
    </row>
    <row r="578" customFormat="false" ht="15" hidden="false" customHeight="false" outlineLevel="0" collapsed="false">
      <c r="B578" s="0" t="str">
        <f aca="false">HYPERLINK("https://genome.ucsc.edu/cgi-bin/hgTracks?db=hg19&amp;position=chr7%3A36917576%2D36917576", "chr7:36917576")</f>
        <v>chr7:36917576</v>
      </c>
      <c r="C578" s="0" t="s">
        <v>253</v>
      </c>
      <c r="D578" s="0" t="n">
        <v>36917576</v>
      </c>
      <c r="E578" s="0" t="n">
        <v>36917576</v>
      </c>
      <c r="F578" s="0" t="s">
        <v>39</v>
      </c>
      <c r="G578" s="0" t="s">
        <v>40</v>
      </c>
      <c r="H578" s="0" t="s">
        <v>368</v>
      </c>
      <c r="I578" s="0" t="s">
        <v>924</v>
      </c>
      <c r="J578" s="0" t="s">
        <v>925</v>
      </c>
      <c r="K578" s="0" t="s">
        <v>46</v>
      </c>
      <c r="L578" s="0" t="str">
        <f aca="false">HYPERLINK("https://www.ncbi.nlm.nih.gov/snp/rs758308152", "rs758308152")</f>
        <v>rs758308152</v>
      </c>
      <c r="M578" s="0" t="str">
        <f aca="false">HYPERLINK("https://www.genecards.org/Search/Keyword?queryString=%5Baliases%5D(%20ELMO1%20)&amp;keywords=ELMO1", "ELMO1")</f>
        <v>ELMO1</v>
      </c>
      <c r="N578" s="0" t="s">
        <v>62</v>
      </c>
      <c r="O578" s="0" t="s">
        <v>46</v>
      </c>
      <c r="P578" s="0" t="s">
        <v>46</v>
      </c>
      <c r="Q578" s="0" t="n">
        <v>5.17E-005</v>
      </c>
      <c r="R578" s="0" t="n">
        <v>-1</v>
      </c>
      <c r="S578" s="0" t="n">
        <v>-1</v>
      </c>
      <c r="T578" s="0" t="n">
        <v>-1</v>
      </c>
      <c r="U578" s="0" t="n">
        <v>-1</v>
      </c>
      <c r="V578" s="0" t="s">
        <v>46</v>
      </c>
      <c r="W578" s="0" t="s">
        <v>46</v>
      </c>
      <c r="X578" s="0" t="s">
        <v>999</v>
      </c>
      <c r="Y578" s="0" t="s">
        <v>64</v>
      </c>
      <c r="Z578" s="0" t="s">
        <v>46</v>
      </c>
      <c r="AA578" s="0" t="s">
        <v>46</v>
      </c>
      <c r="AB578" s="0" t="s">
        <v>46</v>
      </c>
      <c r="AC578" s="0" t="s">
        <v>51</v>
      </c>
      <c r="AD578" s="0" t="s">
        <v>52</v>
      </c>
      <c r="AE578" s="0" t="s">
        <v>3052</v>
      </c>
      <c r="AF578" s="0" t="s">
        <v>3053</v>
      </c>
      <c r="AG578" s="0" t="s">
        <v>3054</v>
      </c>
      <c r="AH578" s="0" t="s">
        <v>46</v>
      </c>
      <c r="AI578" s="0" t="s">
        <v>46</v>
      </c>
      <c r="AJ578" s="0" t="s">
        <v>46</v>
      </c>
      <c r="AK578" s="0" t="s">
        <v>46</v>
      </c>
      <c r="AL578" s="0" t="s">
        <v>46</v>
      </c>
    </row>
    <row r="579" customFormat="false" ht="15" hidden="false" customHeight="false" outlineLevel="0" collapsed="false">
      <c r="B579" s="0" t="str">
        <f aca="false">HYPERLINK("https://genome.ucsc.edu/cgi-bin/hgTracks?db=hg19&amp;position=chr7%3A51132923%2D51132923", "chr7:51132923")</f>
        <v>chr7:51132923</v>
      </c>
      <c r="C579" s="0" t="s">
        <v>253</v>
      </c>
      <c r="D579" s="0" t="n">
        <v>51132923</v>
      </c>
      <c r="E579" s="0" t="n">
        <v>51132923</v>
      </c>
      <c r="F579" s="0" t="s">
        <v>57</v>
      </c>
      <c r="G579" s="0" t="s">
        <v>200</v>
      </c>
      <c r="H579" s="0" t="s">
        <v>3055</v>
      </c>
      <c r="I579" s="0" t="s">
        <v>42</v>
      </c>
      <c r="J579" s="0" t="s">
        <v>3056</v>
      </c>
      <c r="K579" s="0" t="s">
        <v>46</v>
      </c>
      <c r="L579" s="0" t="str">
        <f aca="false">HYPERLINK("https://www.ncbi.nlm.nih.gov/snp/rs560998326", "rs560998326")</f>
        <v>rs560998326</v>
      </c>
      <c r="M579" s="0" t="str">
        <f aca="false">HYPERLINK("https://www.genecards.org/Search/Keyword?queryString=%5Baliases%5D(%20COBL%20)&amp;keywords=COBL", "COBL")</f>
        <v>COBL</v>
      </c>
      <c r="N579" s="0" t="s">
        <v>1888</v>
      </c>
      <c r="O579" s="0" t="s">
        <v>2265</v>
      </c>
      <c r="P579" s="0" t="s">
        <v>3057</v>
      </c>
      <c r="Q579" s="0" t="n">
        <v>0.0034</v>
      </c>
      <c r="R579" s="0" t="n">
        <v>0.0033</v>
      </c>
      <c r="S579" s="0" t="n">
        <v>0.0035</v>
      </c>
      <c r="T579" s="0" t="n">
        <v>-1</v>
      </c>
      <c r="U579" s="0" t="n">
        <v>0.0029</v>
      </c>
      <c r="V579" s="0" t="s">
        <v>46</v>
      </c>
      <c r="W579" s="0" t="s">
        <v>46</v>
      </c>
      <c r="X579" s="0" t="s">
        <v>46</v>
      </c>
      <c r="Y579" s="0" t="s">
        <v>46</v>
      </c>
      <c r="Z579" s="0" t="s">
        <v>46</v>
      </c>
      <c r="AA579" s="0" t="s">
        <v>46</v>
      </c>
      <c r="AB579" s="0" t="s">
        <v>46</v>
      </c>
      <c r="AC579" s="0" t="s">
        <v>51</v>
      </c>
      <c r="AD579" s="0" t="s">
        <v>52</v>
      </c>
      <c r="AE579" s="0" t="s">
        <v>3058</v>
      </c>
      <c r="AF579" s="0" t="s">
        <v>3059</v>
      </c>
      <c r="AG579" s="0" t="s">
        <v>3060</v>
      </c>
      <c r="AH579" s="0" t="s">
        <v>46</v>
      </c>
      <c r="AI579" s="0" t="s">
        <v>46</v>
      </c>
      <c r="AJ579" s="0" t="s">
        <v>46</v>
      </c>
      <c r="AK579" s="0" t="s">
        <v>46</v>
      </c>
      <c r="AL579" s="0" t="s">
        <v>46</v>
      </c>
    </row>
    <row r="580" customFormat="false" ht="15" hidden="false" customHeight="false" outlineLevel="0" collapsed="false">
      <c r="B580" s="0" t="str">
        <f aca="false">HYPERLINK("https://genome.ucsc.edu/cgi-bin/hgTracks?db=hg19&amp;position=chr7%3A129908856%2D129908856", "chr7:129908856")</f>
        <v>chr7:129908856</v>
      </c>
      <c r="C580" s="0" t="s">
        <v>253</v>
      </c>
      <c r="D580" s="0" t="n">
        <v>129908856</v>
      </c>
      <c r="E580" s="0" t="n">
        <v>129908856</v>
      </c>
      <c r="F580" s="0" t="s">
        <v>40</v>
      </c>
      <c r="G580" s="0" t="s">
        <v>57</v>
      </c>
      <c r="H580" s="0" t="s">
        <v>1901</v>
      </c>
      <c r="I580" s="0" t="s">
        <v>111</v>
      </c>
      <c r="J580" s="0" t="s">
        <v>907</v>
      </c>
      <c r="K580" s="0" t="s">
        <v>46</v>
      </c>
      <c r="L580" s="0" t="s">
        <v>46</v>
      </c>
      <c r="M580" s="0" t="str">
        <f aca="false">HYPERLINK("https://www.genecards.org/Search/Keyword?queryString=%5Baliases%5D(%20CPA2%20)&amp;keywords=CPA2", "CPA2")</f>
        <v>CPA2</v>
      </c>
      <c r="N580" s="0" t="s">
        <v>62</v>
      </c>
      <c r="O580" s="0" t="s">
        <v>46</v>
      </c>
      <c r="P580" s="0" t="s">
        <v>46</v>
      </c>
      <c r="Q580" s="0" t="n">
        <v>-1</v>
      </c>
      <c r="R580" s="0" t="n">
        <v>-1</v>
      </c>
      <c r="S580" s="0" t="n">
        <v>-1</v>
      </c>
      <c r="T580" s="0" t="n">
        <v>-1</v>
      </c>
      <c r="U580" s="0" t="n">
        <v>-1</v>
      </c>
      <c r="V580" s="0" t="s">
        <v>46</v>
      </c>
      <c r="W580" s="0" t="s">
        <v>40</v>
      </c>
      <c r="X580" s="0" t="s">
        <v>999</v>
      </c>
      <c r="Y580" s="0" t="s">
        <v>2214</v>
      </c>
      <c r="Z580" s="0" t="s">
        <v>46</v>
      </c>
      <c r="AA580" s="0" t="s">
        <v>46</v>
      </c>
      <c r="AB580" s="0" t="s">
        <v>46</v>
      </c>
      <c r="AC580" s="0" t="s">
        <v>51</v>
      </c>
      <c r="AD580" s="0" t="s">
        <v>52</v>
      </c>
      <c r="AE580" s="0" t="s">
        <v>3061</v>
      </c>
      <c r="AF580" s="0" t="s">
        <v>3062</v>
      </c>
      <c r="AG580" s="0" t="s">
        <v>46</v>
      </c>
      <c r="AH580" s="0" t="s">
        <v>46</v>
      </c>
      <c r="AI580" s="0" t="s">
        <v>46</v>
      </c>
      <c r="AJ580" s="0" t="s">
        <v>46</v>
      </c>
      <c r="AK580" s="0" t="s">
        <v>46</v>
      </c>
      <c r="AL580" s="0" t="s">
        <v>46</v>
      </c>
    </row>
    <row r="581" customFormat="false" ht="15" hidden="false" customHeight="false" outlineLevel="0" collapsed="false">
      <c r="B581" s="0" t="str">
        <f aca="false">HYPERLINK("https://genome.ucsc.edu/cgi-bin/hgTracks?db=hg19&amp;position=chr7%3A142032391%2D142032391", "chr7:142032391")</f>
        <v>chr7:142032391</v>
      </c>
      <c r="C581" s="0" t="s">
        <v>253</v>
      </c>
      <c r="D581" s="0" t="n">
        <v>142032391</v>
      </c>
      <c r="E581" s="0" t="n">
        <v>142032391</v>
      </c>
      <c r="F581" s="0" t="s">
        <v>200</v>
      </c>
      <c r="G581" s="0" t="s">
        <v>3045</v>
      </c>
      <c r="H581" s="0" t="s">
        <v>3063</v>
      </c>
      <c r="I581" s="0" t="s">
        <v>605</v>
      </c>
      <c r="J581" s="0" t="s">
        <v>3064</v>
      </c>
      <c r="K581" s="0" t="s">
        <v>46</v>
      </c>
      <c r="L581" s="0" t="s">
        <v>46</v>
      </c>
      <c r="M581" s="0" t="str">
        <f aca="false">HYPERLINK("https://www.genecards.org/Search/Keyword?queryString=%5Baliases%5D(%20TCRBV20S1%20)&amp;keywords=TCRBV20S1", "TCRBV20S1")</f>
        <v>TCRBV20S1</v>
      </c>
      <c r="N581" s="0" t="s">
        <v>1306</v>
      </c>
      <c r="O581" s="0" t="s">
        <v>2206</v>
      </c>
      <c r="P581" s="0" t="s">
        <v>3065</v>
      </c>
      <c r="Q581" s="0" t="n">
        <v>0.0113</v>
      </c>
      <c r="R581" s="0" t="n">
        <v>9.239E-005</v>
      </c>
      <c r="S581" s="0" t="n">
        <v>7.469E-005</v>
      </c>
      <c r="T581" s="0" t="n">
        <v>-1</v>
      </c>
      <c r="U581" s="0" t="n">
        <v>0.0002</v>
      </c>
      <c r="V581" s="0" t="s">
        <v>46</v>
      </c>
      <c r="W581" s="0" t="s">
        <v>46</v>
      </c>
      <c r="X581" s="0" t="s">
        <v>46</v>
      </c>
      <c r="Y581" s="0" t="s">
        <v>46</v>
      </c>
      <c r="Z581" s="0" t="s">
        <v>46</v>
      </c>
      <c r="AA581" s="0" t="s">
        <v>46</v>
      </c>
      <c r="AB581" s="0" t="s">
        <v>46</v>
      </c>
      <c r="AC581" s="0" t="s">
        <v>51</v>
      </c>
      <c r="AD581" s="0" t="s">
        <v>856</v>
      </c>
      <c r="AE581" s="0" t="s">
        <v>46</v>
      </c>
      <c r="AF581" s="0" t="s">
        <v>46</v>
      </c>
      <c r="AG581" s="0" t="s">
        <v>46</v>
      </c>
      <c r="AH581" s="0" t="s">
        <v>46</v>
      </c>
      <c r="AI581" s="0" t="s">
        <v>46</v>
      </c>
      <c r="AJ581" s="0" t="s">
        <v>46</v>
      </c>
      <c r="AK581" s="0" t="s">
        <v>46</v>
      </c>
      <c r="AL581" s="0" t="s">
        <v>46</v>
      </c>
    </row>
    <row r="582" customFormat="false" ht="15" hidden="false" customHeight="false" outlineLevel="0" collapsed="false">
      <c r="B582" s="0" t="str">
        <f aca="false">HYPERLINK("https://genome.ucsc.edu/cgi-bin/hgTracks?db=hg19&amp;position=chr7%3A142032394%2D142032395", "chr7:142032394")</f>
        <v>chr7:142032394</v>
      </c>
      <c r="C582" s="0" t="s">
        <v>253</v>
      </c>
      <c r="D582" s="0" t="n">
        <v>142032394</v>
      </c>
      <c r="E582" s="0" t="n">
        <v>142032395</v>
      </c>
      <c r="F582" s="0" t="s">
        <v>3066</v>
      </c>
      <c r="G582" s="0" t="s">
        <v>200</v>
      </c>
      <c r="H582" s="0" t="s">
        <v>3067</v>
      </c>
      <c r="I582" s="0" t="s">
        <v>2549</v>
      </c>
      <c r="J582" s="0" t="s">
        <v>3068</v>
      </c>
      <c r="K582" s="0" t="s">
        <v>46</v>
      </c>
      <c r="L582" s="0" t="s">
        <v>46</v>
      </c>
      <c r="M582" s="0" t="str">
        <f aca="false">HYPERLINK("https://www.genecards.org/Search/Keyword?queryString=%5Baliases%5D(%20TCRBV20S1%20)&amp;keywords=TCRBV20S1", "TCRBV20S1")</f>
        <v>TCRBV20S1</v>
      </c>
      <c r="N582" s="0" t="s">
        <v>1306</v>
      </c>
      <c r="O582" s="0" t="s">
        <v>2265</v>
      </c>
      <c r="P582" s="0" t="s">
        <v>3069</v>
      </c>
      <c r="Q582" s="0" t="n">
        <v>0.0114</v>
      </c>
      <c r="R582" s="0" t="n">
        <v>9.796E-005</v>
      </c>
      <c r="S582" s="0" t="n">
        <v>7.802E-005</v>
      </c>
      <c r="T582" s="0" t="n">
        <v>-1</v>
      </c>
      <c r="U582" s="0" t="n">
        <v>0.0002</v>
      </c>
      <c r="V582" s="0" t="s">
        <v>46</v>
      </c>
      <c r="W582" s="0" t="s">
        <v>46</v>
      </c>
      <c r="X582" s="0" t="s">
        <v>46</v>
      </c>
      <c r="Y582" s="0" t="s">
        <v>46</v>
      </c>
      <c r="Z582" s="0" t="s">
        <v>46</v>
      </c>
      <c r="AA582" s="0" t="s">
        <v>46</v>
      </c>
      <c r="AB582" s="0" t="s">
        <v>46</v>
      </c>
      <c r="AC582" s="0" t="s">
        <v>51</v>
      </c>
      <c r="AD582" s="0" t="s">
        <v>856</v>
      </c>
      <c r="AE582" s="0" t="s">
        <v>46</v>
      </c>
      <c r="AF582" s="0" t="s">
        <v>46</v>
      </c>
      <c r="AG582" s="0" t="s">
        <v>46</v>
      </c>
      <c r="AH582" s="0" t="s">
        <v>46</v>
      </c>
      <c r="AI582" s="0" t="s">
        <v>46</v>
      </c>
      <c r="AJ582" s="0" t="s">
        <v>46</v>
      </c>
      <c r="AK582" s="0" t="s">
        <v>46</v>
      </c>
      <c r="AL582" s="0" t="s">
        <v>46</v>
      </c>
    </row>
    <row r="583" customFormat="false" ht="15" hidden="false" customHeight="false" outlineLevel="0" collapsed="false">
      <c r="B583" s="0" t="str">
        <f aca="false">HYPERLINK("https://genome.ucsc.edu/cgi-bin/hgTracks?db=hg19&amp;position=chr7%3A142131779%2D142131779", "chr7:142131779")</f>
        <v>chr7:142131779</v>
      </c>
      <c r="C583" s="0" t="s">
        <v>253</v>
      </c>
      <c r="D583" s="0" t="n">
        <v>142131779</v>
      </c>
      <c r="E583" s="0" t="n">
        <v>142131779</v>
      </c>
      <c r="F583" s="0" t="s">
        <v>57</v>
      </c>
      <c r="G583" s="0" t="s">
        <v>39</v>
      </c>
      <c r="H583" s="0" t="s">
        <v>3070</v>
      </c>
      <c r="I583" s="0" t="s">
        <v>3071</v>
      </c>
      <c r="J583" s="0" t="s">
        <v>3072</v>
      </c>
      <c r="K583" s="0" t="s">
        <v>46</v>
      </c>
      <c r="L583" s="0" t="str">
        <f aca="false">HYPERLINK("https://www.ncbi.nlm.nih.gov/snp/rs370810757", "rs370810757")</f>
        <v>rs370810757</v>
      </c>
      <c r="M583" s="0" t="str">
        <f aca="false">HYPERLINK("https://www.genecards.org/Search/Keyword?queryString=%5Baliases%5D(%20TCRBV22S1A2N1T%20)%20OR%20%5Baliases%5D(%20TCRBV5S1A1T%20)%20OR%20%5Baliases%5D(%20TCRBV5S2%20)&amp;keywords=TCRBV22S1A2N1T,TCRBV5S1A1T,TCRBV5S2", "TCRBV22S1A2N1T;TCRBV5S1A1T;TCRBV5S2")</f>
        <v>TCRBV22S1A2N1T;TCRBV5S1A1T;TCRBV5S2</v>
      </c>
      <c r="N583" s="0" t="s">
        <v>2283</v>
      </c>
      <c r="O583" s="0" t="s">
        <v>46</v>
      </c>
      <c r="P583" s="0" t="s">
        <v>3073</v>
      </c>
      <c r="Q583" s="0" t="n">
        <v>0.0243</v>
      </c>
      <c r="R583" s="0" t="n">
        <v>0.0216</v>
      </c>
      <c r="S583" s="0" t="n">
        <v>0.014</v>
      </c>
      <c r="T583" s="0" t="n">
        <v>-1</v>
      </c>
      <c r="U583" s="0" t="n">
        <v>0.0212</v>
      </c>
      <c r="V583" s="0" t="s">
        <v>46</v>
      </c>
      <c r="W583" s="0" t="s">
        <v>46</v>
      </c>
      <c r="X583" s="0" t="s">
        <v>2255</v>
      </c>
      <c r="Y583" s="0" t="s">
        <v>64</v>
      </c>
      <c r="Z583" s="0" t="s">
        <v>46</v>
      </c>
      <c r="AA583" s="0" t="s">
        <v>46</v>
      </c>
      <c r="AB583" s="0" t="s">
        <v>46</v>
      </c>
      <c r="AC583" s="0" t="s">
        <v>51</v>
      </c>
      <c r="AD583" s="0" t="s">
        <v>2737</v>
      </c>
      <c r="AE583" s="0" t="s">
        <v>46</v>
      </c>
      <c r="AF583" s="0" t="s">
        <v>46</v>
      </c>
      <c r="AG583" s="0" t="s">
        <v>46</v>
      </c>
      <c r="AH583" s="0" t="s">
        <v>46</v>
      </c>
      <c r="AI583" s="0" t="s">
        <v>46</v>
      </c>
      <c r="AJ583" s="0" t="s">
        <v>46</v>
      </c>
      <c r="AK583" s="0" t="s">
        <v>46</v>
      </c>
      <c r="AL583" s="0" t="s">
        <v>46</v>
      </c>
    </row>
    <row r="584" customFormat="false" ht="15" hidden="false" customHeight="false" outlineLevel="0" collapsed="false">
      <c r="B584" s="0" t="str">
        <f aca="false">HYPERLINK("https://genome.ucsc.edu/cgi-bin/hgTracks?db=hg19&amp;position=chr7%3A142460045%2D142460045", "chr7:142460045")</f>
        <v>chr7:142460045</v>
      </c>
      <c r="C584" s="0" t="s">
        <v>253</v>
      </c>
      <c r="D584" s="0" t="n">
        <v>142460045</v>
      </c>
      <c r="E584" s="0" t="n">
        <v>142460045</v>
      </c>
      <c r="F584" s="0" t="s">
        <v>39</v>
      </c>
      <c r="G584" s="0" t="s">
        <v>40</v>
      </c>
      <c r="H584" s="0" t="s">
        <v>3074</v>
      </c>
      <c r="I584" s="0" t="s">
        <v>95</v>
      </c>
      <c r="J584" s="0" t="s">
        <v>3075</v>
      </c>
      <c r="K584" s="0" t="s">
        <v>46</v>
      </c>
      <c r="L584" s="0" t="str">
        <f aca="false">HYPERLINK("https://www.ncbi.nlm.nih.gov/snp/rs367991574", "rs367991574")</f>
        <v>rs367991574</v>
      </c>
      <c r="M584" s="0" t="str">
        <f aca="false">HYPERLINK("https://www.genecards.org/Search/Keyword?queryString=%5Baliases%5D(%20PRSS1%20)%20OR%20%5Baliases%5D(%20TCRVB%20)&amp;keywords=PRSS1,TCRVB", "PRSS1;TCRVB")</f>
        <v>PRSS1;TCRVB</v>
      </c>
      <c r="N584" s="0" t="s">
        <v>2213</v>
      </c>
      <c r="O584" s="0" t="s">
        <v>46</v>
      </c>
      <c r="P584" s="0" t="s">
        <v>46</v>
      </c>
      <c r="Q584" s="0" t="n">
        <v>0.000461</v>
      </c>
      <c r="R584" s="0" t="n">
        <v>-1</v>
      </c>
      <c r="S584" s="0" t="n">
        <v>-1</v>
      </c>
      <c r="T584" s="0" t="n">
        <v>-1</v>
      </c>
      <c r="U584" s="0" t="n">
        <v>-1</v>
      </c>
      <c r="V584" s="0" t="s">
        <v>46</v>
      </c>
      <c r="W584" s="0" t="s">
        <v>46</v>
      </c>
      <c r="X584" s="0" t="s">
        <v>63</v>
      </c>
      <c r="Y584" s="0" t="s">
        <v>64</v>
      </c>
      <c r="Z584" s="0" t="s">
        <v>46</v>
      </c>
      <c r="AA584" s="0" t="s">
        <v>46</v>
      </c>
      <c r="AB584" s="0" t="s">
        <v>46</v>
      </c>
      <c r="AC584" s="0" t="s">
        <v>51</v>
      </c>
      <c r="AD584" s="0" t="s">
        <v>3076</v>
      </c>
      <c r="AE584" s="0" t="s">
        <v>3077</v>
      </c>
      <c r="AF584" s="0" t="s">
        <v>3078</v>
      </c>
      <c r="AG584" s="0" t="s">
        <v>3079</v>
      </c>
      <c r="AH584" s="0" t="s">
        <v>3080</v>
      </c>
      <c r="AI584" s="0" t="s">
        <v>46</v>
      </c>
      <c r="AJ584" s="0" t="s">
        <v>46</v>
      </c>
      <c r="AK584" s="0" t="s">
        <v>46</v>
      </c>
      <c r="AL584" s="0" t="s">
        <v>46</v>
      </c>
    </row>
    <row r="585" customFormat="false" ht="15" hidden="false" customHeight="false" outlineLevel="0" collapsed="false">
      <c r="B585" s="0" t="str">
        <f aca="false">HYPERLINK("https://genome.ucsc.edu/cgi-bin/hgTracks?db=hg19&amp;position=chr7%3A142460046%2D142460046", "chr7:142460046")</f>
        <v>chr7:142460046</v>
      </c>
      <c r="C585" s="0" t="s">
        <v>253</v>
      </c>
      <c r="D585" s="0" t="n">
        <v>142460046</v>
      </c>
      <c r="E585" s="0" t="n">
        <v>142460046</v>
      </c>
      <c r="F585" s="0" t="s">
        <v>40</v>
      </c>
      <c r="G585" s="0" t="s">
        <v>69</v>
      </c>
      <c r="H585" s="0" t="s">
        <v>3074</v>
      </c>
      <c r="I585" s="0" t="s">
        <v>95</v>
      </c>
      <c r="J585" s="0" t="s">
        <v>3075</v>
      </c>
      <c r="K585" s="0" t="s">
        <v>46</v>
      </c>
      <c r="L585" s="0" t="str">
        <f aca="false">HYPERLINK("https://www.ncbi.nlm.nih.gov/snp/rs371778638", "rs371778638")</f>
        <v>rs371778638</v>
      </c>
      <c r="M585" s="0" t="str">
        <f aca="false">HYPERLINK("https://www.genecards.org/Search/Keyword?queryString=%5Baliases%5D(%20PRSS1%20)%20OR%20%5Baliases%5D(%20TCRVB%20)&amp;keywords=PRSS1,TCRVB", "PRSS1;TCRVB")</f>
        <v>PRSS1;TCRVB</v>
      </c>
      <c r="N585" s="0" t="s">
        <v>2213</v>
      </c>
      <c r="O585" s="0" t="s">
        <v>46</v>
      </c>
      <c r="P585" s="0" t="s">
        <v>46</v>
      </c>
      <c r="Q585" s="0" t="n">
        <v>0.0004226</v>
      </c>
      <c r="R585" s="0" t="n">
        <v>-1</v>
      </c>
      <c r="S585" s="0" t="n">
        <v>-1</v>
      </c>
      <c r="T585" s="0" t="n">
        <v>-1</v>
      </c>
      <c r="U585" s="0" t="n">
        <v>-1</v>
      </c>
      <c r="V585" s="0" t="s">
        <v>46</v>
      </c>
      <c r="W585" s="0" t="s">
        <v>46</v>
      </c>
      <c r="X585" s="0" t="s">
        <v>63</v>
      </c>
      <c r="Y585" s="0" t="s">
        <v>64</v>
      </c>
      <c r="Z585" s="0" t="s">
        <v>46</v>
      </c>
      <c r="AA585" s="0" t="s">
        <v>46</v>
      </c>
      <c r="AB585" s="0" t="s">
        <v>46</v>
      </c>
      <c r="AC585" s="0" t="s">
        <v>51</v>
      </c>
      <c r="AD585" s="0" t="s">
        <v>3076</v>
      </c>
      <c r="AE585" s="0" t="s">
        <v>3077</v>
      </c>
      <c r="AF585" s="0" t="s">
        <v>3078</v>
      </c>
      <c r="AG585" s="0" t="s">
        <v>3079</v>
      </c>
      <c r="AH585" s="0" t="s">
        <v>3080</v>
      </c>
      <c r="AI585" s="0" t="s">
        <v>46</v>
      </c>
      <c r="AJ585" s="0" t="s">
        <v>46</v>
      </c>
      <c r="AK585" s="0" t="s">
        <v>46</v>
      </c>
      <c r="AL585" s="0" t="s">
        <v>46</v>
      </c>
    </row>
    <row r="586" customFormat="false" ht="15" hidden="false" customHeight="false" outlineLevel="0" collapsed="false">
      <c r="B586" s="0" t="str">
        <f aca="false">HYPERLINK("https://genome.ucsc.edu/cgi-bin/hgTracks?db=hg19&amp;position=chr7%3A142460255%2D142460255", "chr7:142460255")</f>
        <v>chr7:142460255</v>
      </c>
      <c r="C586" s="0" t="s">
        <v>253</v>
      </c>
      <c r="D586" s="0" t="n">
        <v>142460255</v>
      </c>
      <c r="E586" s="0" t="n">
        <v>142460255</v>
      </c>
      <c r="F586" s="0" t="s">
        <v>39</v>
      </c>
      <c r="G586" s="0" t="s">
        <v>200</v>
      </c>
      <c r="H586" s="0" t="s">
        <v>3081</v>
      </c>
      <c r="I586" s="0" t="s">
        <v>212</v>
      </c>
      <c r="J586" s="0" t="s">
        <v>3082</v>
      </c>
      <c r="K586" s="0" t="s">
        <v>46</v>
      </c>
      <c r="L586" s="0" t="str">
        <f aca="false">HYPERLINK("https://www.ncbi.nlm.nih.gov/snp/rs376880201", "rs376880201")</f>
        <v>rs376880201</v>
      </c>
      <c r="M586" s="0" t="str">
        <f aca="false">HYPERLINK("https://www.genecards.org/Search/Keyword?queryString=%5Baliases%5D(%20PRSS1%20)%20OR%20%5Baliases%5D(%20TCRVB%20)&amp;keywords=PRSS1,TCRVB", "PRSS1;TCRVB")</f>
        <v>PRSS1;TCRVB</v>
      </c>
      <c r="N586" s="0" t="s">
        <v>2213</v>
      </c>
      <c r="O586" s="0" t="s">
        <v>46</v>
      </c>
      <c r="P586" s="0" t="s">
        <v>46</v>
      </c>
      <c r="Q586" s="0" t="n">
        <v>0.0051</v>
      </c>
      <c r="R586" s="0" t="n">
        <v>0.0053</v>
      </c>
      <c r="S586" s="0" t="n">
        <v>0.0051</v>
      </c>
      <c r="T586" s="0" t="n">
        <v>-1</v>
      </c>
      <c r="U586" s="0" t="n">
        <v>0.0033</v>
      </c>
      <c r="V586" s="0" t="s">
        <v>46</v>
      </c>
      <c r="W586" s="0" t="s">
        <v>46</v>
      </c>
      <c r="X586" s="0" t="s">
        <v>46</v>
      </c>
      <c r="Y586" s="0" t="s">
        <v>46</v>
      </c>
      <c r="Z586" s="0" t="s">
        <v>46</v>
      </c>
      <c r="AA586" s="0" t="s">
        <v>46</v>
      </c>
      <c r="AB586" s="0" t="s">
        <v>46</v>
      </c>
      <c r="AC586" s="0" t="s">
        <v>51</v>
      </c>
      <c r="AD586" s="0" t="s">
        <v>3076</v>
      </c>
      <c r="AE586" s="0" t="s">
        <v>3077</v>
      </c>
      <c r="AF586" s="0" t="s">
        <v>3078</v>
      </c>
      <c r="AG586" s="0" t="s">
        <v>3079</v>
      </c>
      <c r="AH586" s="0" t="s">
        <v>3080</v>
      </c>
      <c r="AI586" s="0" t="s">
        <v>46</v>
      </c>
      <c r="AJ586" s="0" t="s">
        <v>46</v>
      </c>
      <c r="AK586" s="0" t="s">
        <v>46</v>
      </c>
      <c r="AL586" s="0" t="s">
        <v>46</v>
      </c>
    </row>
    <row r="587" customFormat="false" ht="15" hidden="false" customHeight="false" outlineLevel="0" collapsed="false">
      <c r="B587" s="0" t="str">
        <f aca="false">HYPERLINK("https://genome.ucsc.edu/cgi-bin/hgTracks?db=hg19&amp;position=chr7%3A142460614%2D142460614", "chr7:142460614")</f>
        <v>chr7:142460614</v>
      </c>
      <c r="C587" s="0" t="s">
        <v>253</v>
      </c>
      <c r="D587" s="0" t="n">
        <v>142460614</v>
      </c>
      <c r="E587" s="0" t="n">
        <v>142460614</v>
      </c>
      <c r="F587" s="0" t="s">
        <v>57</v>
      </c>
      <c r="G587" s="0" t="s">
        <v>69</v>
      </c>
      <c r="H587" s="0" t="s">
        <v>3083</v>
      </c>
      <c r="I587" s="0" t="s">
        <v>527</v>
      </c>
      <c r="J587" s="0" t="s">
        <v>3084</v>
      </c>
      <c r="K587" s="0" t="s">
        <v>46</v>
      </c>
      <c r="L587" s="0" t="str">
        <f aca="false">HYPERLINK("https://www.ncbi.nlm.nih.gov/snp/rs373440695", "rs373440695")</f>
        <v>rs373440695</v>
      </c>
      <c r="M587" s="0" t="str">
        <f aca="false">HYPERLINK("https://www.genecards.org/Search/Keyword?queryString=%5Baliases%5D(%20PRSS1%20)%20OR%20%5Baliases%5D(%20TCRVB%20)&amp;keywords=PRSS1,TCRVB", "PRSS1;TCRVB")</f>
        <v>PRSS1;TCRVB</v>
      </c>
      <c r="N587" s="0" t="s">
        <v>2213</v>
      </c>
      <c r="O587" s="0" t="s">
        <v>46</v>
      </c>
      <c r="P587" s="0" t="s">
        <v>46</v>
      </c>
      <c r="Q587" s="0" t="n">
        <v>0.026273</v>
      </c>
      <c r="R587" s="0" t="n">
        <v>-1</v>
      </c>
      <c r="S587" s="0" t="n">
        <v>-1</v>
      </c>
      <c r="T587" s="0" t="n">
        <v>-1</v>
      </c>
      <c r="U587" s="0" t="n">
        <v>-1</v>
      </c>
      <c r="V587" s="0" t="s">
        <v>46</v>
      </c>
      <c r="W587" s="0" t="s">
        <v>46</v>
      </c>
      <c r="X587" s="0" t="s">
        <v>63</v>
      </c>
      <c r="Y587" s="0" t="s">
        <v>64</v>
      </c>
      <c r="Z587" s="0" t="s">
        <v>46</v>
      </c>
      <c r="AA587" s="0" t="s">
        <v>46</v>
      </c>
      <c r="AB587" s="0" t="s">
        <v>46</v>
      </c>
      <c r="AC587" s="0" t="s">
        <v>51</v>
      </c>
      <c r="AD587" s="0" t="s">
        <v>3076</v>
      </c>
      <c r="AE587" s="0" t="s">
        <v>3077</v>
      </c>
      <c r="AF587" s="0" t="s">
        <v>3078</v>
      </c>
      <c r="AG587" s="0" t="s">
        <v>3079</v>
      </c>
      <c r="AH587" s="0" t="s">
        <v>3080</v>
      </c>
      <c r="AI587" s="0" t="s">
        <v>46</v>
      </c>
      <c r="AJ587" s="0" t="s">
        <v>46</v>
      </c>
      <c r="AK587" s="0" t="s">
        <v>46</v>
      </c>
      <c r="AL587" s="0" t="s">
        <v>46</v>
      </c>
    </row>
    <row r="588" customFormat="false" ht="15" hidden="false" customHeight="false" outlineLevel="0" collapsed="false">
      <c r="B588" s="0" t="str">
        <f aca="false">HYPERLINK("https://genome.ucsc.edu/cgi-bin/hgTracks?db=hg19&amp;position=chr7%3A142460642%2D142460642", "chr7:142460642")</f>
        <v>chr7:142460642</v>
      </c>
      <c r="C588" s="0" t="s">
        <v>253</v>
      </c>
      <c r="D588" s="0" t="n">
        <v>142460642</v>
      </c>
      <c r="E588" s="0" t="n">
        <v>142460642</v>
      </c>
      <c r="F588" s="0" t="s">
        <v>69</v>
      </c>
      <c r="G588" s="0" t="s">
        <v>39</v>
      </c>
      <c r="H588" s="0" t="s">
        <v>1574</v>
      </c>
      <c r="I588" s="0" t="s">
        <v>842</v>
      </c>
      <c r="J588" s="0" t="s">
        <v>3085</v>
      </c>
      <c r="K588" s="0" t="s">
        <v>46</v>
      </c>
      <c r="L588" s="0" t="str">
        <f aca="false">HYPERLINK("https://www.ncbi.nlm.nih.gov/snp/rs373536377", "rs373536377")</f>
        <v>rs373536377</v>
      </c>
      <c r="M588" s="0" t="str">
        <f aca="false">HYPERLINK("https://www.genecards.org/Search/Keyword?queryString=%5Baliases%5D(%20PRSS1%20)%20OR%20%5Baliases%5D(%20TCRVB%20)&amp;keywords=PRSS1,TCRVB", "PRSS1;TCRVB")</f>
        <v>PRSS1;TCRVB</v>
      </c>
      <c r="N588" s="0" t="s">
        <v>2213</v>
      </c>
      <c r="O588" s="0" t="s">
        <v>46</v>
      </c>
      <c r="P588" s="0" t="s">
        <v>46</v>
      </c>
      <c r="Q588" s="0" t="n">
        <v>0.0022668</v>
      </c>
      <c r="R588" s="0" t="n">
        <v>-1</v>
      </c>
      <c r="S588" s="0" t="n">
        <v>-1</v>
      </c>
      <c r="T588" s="0" t="n">
        <v>-1</v>
      </c>
      <c r="U588" s="0" t="n">
        <v>-1</v>
      </c>
      <c r="V588" s="0" t="s">
        <v>46</v>
      </c>
      <c r="W588" s="0" t="s">
        <v>46</v>
      </c>
      <c r="X588" s="0" t="s">
        <v>63</v>
      </c>
      <c r="Y588" s="0" t="s">
        <v>64</v>
      </c>
      <c r="Z588" s="0" t="s">
        <v>46</v>
      </c>
      <c r="AA588" s="0" t="s">
        <v>46</v>
      </c>
      <c r="AB588" s="0" t="s">
        <v>46</v>
      </c>
      <c r="AC588" s="0" t="s">
        <v>51</v>
      </c>
      <c r="AD588" s="0" t="s">
        <v>3076</v>
      </c>
      <c r="AE588" s="0" t="s">
        <v>3077</v>
      </c>
      <c r="AF588" s="0" t="s">
        <v>3078</v>
      </c>
      <c r="AG588" s="0" t="s">
        <v>3079</v>
      </c>
      <c r="AH588" s="0" t="s">
        <v>3080</v>
      </c>
      <c r="AI588" s="0" t="s">
        <v>802</v>
      </c>
      <c r="AJ588" s="0" t="s">
        <v>46</v>
      </c>
      <c r="AK588" s="0" t="s">
        <v>46</v>
      </c>
      <c r="AL588" s="0" t="s">
        <v>46</v>
      </c>
    </row>
    <row r="589" customFormat="false" ht="15" hidden="false" customHeight="false" outlineLevel="0" collapsed="false">
      <c r="B589" s="0" t="str">
        <f aca="false">HYPERLINK("https://genome.ucsc.edu/cgi-bin/hgTracks?db=hg19&amp;position=chr7%3A142460660%2D142460660", "chr7:142460660")</f>
        <v>chr7:142460660</v>
      </c>
      <c r="C589" s="0" t="s">
        <v>253</v>
      </c>
      <c r="D589" s="0" t="n">
        <v>142460660</v>
      </c>
      <c r="E589" s="0" t="n">
        <v>142460660</v>
      </c>
      <c r="F589" s="0" t="s">
        <v>40</v>
      </c>
      <c r="G589" s="0" t="s">
        <v>39</v>
      </c>
      <c r="H589" s="0" t="s">
        <v>3086</v>
      </c>
      <c r="I589" s="0" t="s">
        <v>288</v>
      </c>
      <c r="J589" s="0" t="s">
        <v>2131</v>
      </c>
      <c r="K589" s="0" t="s">
        <v>46</v>
      </c>
      <c r="L589" s="0" t="str">
        <f aca="false">HYPERLINK("https://www.ncbi.nlm.nih.gov/snp/rs796239652", "rs796239652")</f>
        <v>rs796239652</v>
      </c>
      <c r="M589" s="0" t="str">
        <f aca="false">HYPERLINK("https://www.genecards.org/Search/Keyword?queryString=%5Baliases%5D(%20PRSS1%20)%20OR%20%5Baliases%5D(%20TCRVB%20)&amp;keywords=PRSS1,TCRVB", "PRSS1;TCRVB")</f>
        <v>PRSS1;TCRVB</v>
      </c>
      <c r="N589" s="0" t="s">
        <v>2213</v>
      </c>
      <c r="O589" s="0" t="s">
        <v>46</v>
      </c>
      <c r="P589" s="0" t="s">
        <v>46</v>
      </c>
      <c r="Q589" s="0" t="n">
        <v>0.0004226</v>
      </c>
      <c r="R589" s="0" t="n">
        <v>-1</v>
      </c>
      <c r="S589" s="0" t="n">
        <v>-1</v>
      </c>
      <c r="T589" s="0" t="n">
        <v>-1</v>
      </c>
      <c r="U589" s="0" t="n">
        <v>-1</v>
      </c>
      <c r="V589" s="0" t="s">
        <v>46</v>
      </c>
      <c r="W589" s="0" t="s">
        <v>46</v>
      </c>
      <c r="X589" s="0" t="s">
        <v>63</v>
      </c>
      <c r="Y589" s="0" t="s">
        <v>64</v>
      </c>
      <c r="Z589" s="0" t="s">
        <v>46</v>
      </c>
      <c r="AA589" s="0" t="s">
        <v>46</v>
      </c>
      <c r="AB589" s="0" t="s">
        <v>46</v>
      </c>
      <c r="AC589" s="0" t="s">
        <v>51</v>
      </c>
      <c r="AD589" s="0" t="s">
        <v>3076</v>
      </c>
      <c r="AE589" s="0" t="s">
        <v>3077</v>
      </c>
      <c r="AF589" s="0" t="s">
        <v>3078</v>
      </c>
      <c r="AG589" s="0" t="s">
        <v>3079</v>
      </c>
      <c r="AH589" s="0" t="s">
        <v>3080</v>
      </c>
      <c r="AI589" s="0" t="s">
        <v>46</v>
      </c>
      <c r="AJ589" s="0" t="s">
        <v>46</v>
      </c>
      <c r="AK589" s="0" t="s">
        <v>46</v>
      </c>
      <c r="AL589" s="0" t="s">
        <v>46</v>
      </c>
    </row>
    <row r="590" customFormat="false" ht="15" hidden="false" customHeight="false" outlineLevel="0" collapsed="false">
      <c r="B590" s="0" t="str">
        <f aca="false">HYPERLINK("https://genome.ucsc.edu/cgi-bin/hgTracks?db=hg19&amp;position=chr7%3A151814527%2D151814527", "chr7:151814527")</f>
        <v>chr7:151814527</v>
      </c>
      <c r="C590" s="0" t="s">
        <v>253</v>
      </c>
      <c r="D590" s="0" t="n">
        <v>151814527</v>
      </c>
      <c r="E590" s="0" t="n">
        <v>151814527</v>
      </c>
      <c r="F590" s="0" t="s">
        <v>57</v>
      </c>
      <c r="G590" s="0" t="s">
        <v>69</v>
      </c>
      <c r="H590" s="0" t="s">
        <v>110</v>
      </c>
      <c r="I590" s="0" t="s">
        <v>311</v>
      </c>
      <c r="J590" s="0" t="s">
        <v>312</v>
      </c>
      <c r="K590" s="0" t="s">
        <v>46</v>
      </c>
      <c r="L590" s="0" t="str">
        <f aca="false">HYPERLINK("https://www.ncbi.nlm.nih.gov/snp/rs747877498", "rs747877498")</f>
        <v>rs747877498</v>
      </c>
      <c r="M590" s="0" t="str">
        <f aca="false">HYPERLINK("https://www.genecards.org/Search/Keyword?queryString=%5Baliases%5D(%20GALNT11%20)&amp;keywords=GALNT11", "GALNT11")</f>
        <v>GALNT11</v>
      </c>
      <c r="N590" s="0" t="s">
        <v>2483</v>
      </c>
      <c r="O590" s="0" t="s">
        <v>46</v>
      </c>
      <c r="P590" s="0" t="s">
        <v>3087</v>
      </c>
      <c r="Q590" s="0" t="n">
        <v>0.0006</v>
      </c>
      <c r="R590" s="0" t="n">
        <v>0.0005</v>
      </c>
      <c r="S590" s="0" t="n">
        <v>0.0004</v>
      </c>
      <c r="T590" s="0" t="n">
        <v>-1</v>
      </c>
      <c r="U590" s="0" t="n">
        <v>0.0011</v>
      </c>
      <c r="V590" s="0" t="s">
        <v>46</v>
      </c>
      <c r="W590" s="0" t="s">
        <v>46</v>
      </c>
      <c r="X590" s="0" t="s">
        <v>999</v>
      </c>
      <c r="Y590" s="0" t="s">
        <v>64</v>
      </c>
      <c r="Z590" s="0" t="s">
        <v>46</v>
      </c>
      <c r="AA590" s="0" t="s">
        <v>46</v>
      </c>
      <c r="AB590" s="0" t="s">
        <v>46</v>
      </c>
      <c r="AC590" s="0" t="s">
        <v>51</v>
      </c>
      <c r="AD590" s="0" t="s">
        <v>52</v>
      </c>
      <c r="AE590" s="0" t="s">
        <v>3088</v>
      </c>
      <c r="AF590" s="0" t="s">
        <v>3089</v>
      </c>
      <c r="AG590" s="0" t="s">
        <v>3090</v>
      </c>
      <c r="AH590" s="0" t="s">
        <v>3091</v>
      </c>
      <c r="AI590" s="0" t="s">
        <v>46</v>
      </c>
      <c r="AJ590" s="0" t="s">
        <v>46</v>
      </c>
      <c r="AK590" s="0" t="s">
        <v>46</v>
      </c>
      <c r="AL590" s="0" t="s">
        <v>46</v>
      </c>
    </row>
    <row r="591" customFormat="false" ht="15" hidden="false" customHeight="false" outlineLevel="0" collapsed="false">
      <c r="B591" s="0" t="str">
        <f aca="false">HYPERLINK("https://genome.ucsc.edu/cgi-bin/hgTracks?db=hg19&amp;position=chr8%3A27099137%2D27099137", "chr8:27099137")</f>
        <v>chr8:27099137</v>
      </c>
      <c r="C591" s="0" t="s">
        <v>1873</v>
      </c>
      <c r="D591" s="0" t="n">
        <v>27099137</v>
      </c>
      <c r="E591" s="0" t="n">
        <v>27099137</v>
      </c>
      <c r="F591" s="0" t="s">
        <v>39</v>
      </c>
      <c r="G591" s="0" t="s">
        <v>40</v>
      </c>
      <c r="H591" s="0" t="s">
        <v>3092</v>
      </c>
      <c r="I591" s="0" t="s">
        <v>1278</v>
      </c>
      <c r="J591" s="0" t="s">
        <v>3093</v>
      </c>
      <c r="K591" s="0" t="s">
        <v>46</v>
      </c>
      <c r="L591" s="0" t="str">
        <f aca="false">HYPERLINK("https://www.ncbi.nlm.nih.gov/snp/rs142178426", "rs142178426")</f>
        <v>rs142178426</v>
      </c>
      <c r="M591" s="0" t="str">
        <f aca="false">HYPERLINK("https://www.genecards.org/Search/Keyword?queryString=%5Baliases%5D(%20STMN4%20)&amp;keywords=STMN4", "STMN4")</f>
        <v>STMN4</v>
      </c>
      <c r="N591" s="0" t="s">
        <v>62</v>
      </c>
      <c r="O591" s="0" t="s">
        <v>46</v>
      </c>
      <c r="P591" s="0" t="s">
        <v>46</v>
      </c>
      <c r="Q591" s="0" t="n">
        <v>0.0101</v>
      </c>
      <c r="R591" s="0" t="n">
        <v>0.0075</v>
      </c>
      <c r="S591" s="0" t="n">
        <v>0.0079</v>
      </c>
      <c r="T591" s="0" t="n">
        <v>-1</v>
      </c>
      <c r="U591" s="0" t="n">
        <v>0.0067</v>
      </c>
      <c r="V591" s="0" t="s">
        <v>46</v>
      </c>
      <c r="W591" s="0" t="s">
        <v>46</v>
      </c>
      <c r="X591" s="0" t="s">
        <v>999</v>
      </c>
      <c r="Y591" s="0" t="s">
        <v>64</v>
      </c>
      <c r="Z591" s="0" t="s">
        <v>46</v>
      </c>
      <c r="AA591" s="0" t="s">
        <v>46</v>
      </c>
      <c r="AB591" s="0" t="s">
        <v>46</v>
      </c>
      <c r="AC591" s="0" t="s">
        <v>51</v>
      </c>
      <c r="AD591" s="0" t="s">
        <v>52</v>
      </c>
      <c r="AE591" s="0" t="s">
        <v>3094</v>
      </c>
      <c r="AF591" s="0" t="s">
        <v>3095</v>
      </c>
      <c r="AG591" s="0" t="s">
        <v>3096</v>
      </c>
      <c r="AH591" s="0" t="s">
        <v>46</v>
      </c>
      <c r="AI591" s="0" t="s">
        <v>46</v>
      </c>
      <c r="AJ591" s="0" t="s">
        <v>46</v>
      </c>
      <c r="AK591" s="0" t="s">
        <v>46</v>
      </c>
      <c r="AL591" s="0" t="s">
        <v>46</v>
      </c>
    </row>
    <row r="592" customFormat="false" ht="15" hidden="false" customHeight="false" outlineLevel="0" collapsed="false">
      <c r="B592" s="0" t="str">
        <f aca="false">HYPERLINK("https://genome.ucsc.edu/cgi-bin/hgTracks?db=hg19&amp;position=chr8%3A27462368%2D27462368", "chr8:27462368")</f>
        <v>chr8:27462368</v>
      </c>
      <c r="C592" s="0" t="s">
        <v>1873</v>
      </c>
      <c r="D592" s="0" t="n">
        <v>27462368</v>
      </c>
      <c r="E592" s="0" t="n">
        <v>27462368</v>
      </c>
      <c r="F592" s="0" t="s">
        <v>39</v>
      </c>
      <c r="G592" s="0" t="s">
        <v>40</v>
      </c>
      <c r="H592" s="0" t="s">
        <v>3097</v>
      </c>
      <c r="I592" s="0" t="s">
        <v>1226</v>
      </c>
      <c r="J592" s="0" t="s">
        <v>3098</v>
      </c>
      <c r="K592" s="0" t="s">
        <v>46</v>
      </c>
      <c r="L592" s="0" t="str">
        <f aca="false">HYPERLINK("https://www.ncbi.nlm.nih.gov/snp/rs567644173", "rs567644173")</f>
        <v>rs567644173</v>
      </c>
      <c r="M592" s="0" t="str">
        <f aca="false">HYPERLINK("https://www.genecards.org/Search/Keyword?queryString=%5Baliases%5D(%20CLU%20)&amp;keywords=CLU", "CLU")</f>
        <v>CLU</v>
      </c>
      <c r="N592" s="0" t="s">
        <v>62</v>
      </c>
      <c r="O592" s="0" t="s">
        <v>46</v>
      </c>
      <c r="P592" s="0" t="s">
        <v>46</v>
      </c>
      <c r="Q592" s="0" t="n">
        <v>0.001</v>
      </c>
      <c r="R592" s="0" t="n">
        <v>0.0002</v>
      </c>
      <c r="S592" s="0" t="n">
        <v>0.0003</v>
      </c>
      <c r="T592" s="0" t="n">
        <v>-1</v>
      </c>
      <c r="U592" s="0" t="n">
        <v>0.0004</v>
      </c>
      <c r="V592" s="0" t="s">
        <v>46</v>
      </c>
      <c r="W592" s="0" t="s">
        <v>46</v>
      </c>
      <c r="X592" s="0" t="s">
        <v>2255</v>
      </c>
      <c r="Y592" s="0" t="s">
        <v>64</v>
      </c>
      <c r="Z592" s="0" t="s">
        <v>46</v>
      </c>
      <c r="AA592" s="0" t="s">
        <v>46</v>
      </c>
      <c r="AB592" s="0" t="s">
        <v>46</v>
      </c>
      <c r="AC592" s="0" t="s">
        <v>51</v>
      </c>
      <c r="AD592" s="0" t="s">
        <v>52</v>
      </c>
      <c r="AE592" s="0" t="s">
        <v>3099</v>
      </c>
      <c r="AF592" s="0" t="s">
        <v>3100</v>
      </c>
      <c r="AG592" s="0" t="s">
        <v>3101</v>
      </c>
      <c r="AH592" s="0" t="s">
        <v>46</v>
      </c>
      <c r="AI592" s="0" t="s">
        <v>46</v>
      </c>
      <c r="AJ592" s="0" t="s">
        <v>46</v>
      </c>
      <c r="AK592" s="0" t="s">
        <v>46</v>
      </c>
      <c r="AL592" s="0" t="s">
        <v>46</v>
      </c>
    </row>
    <row r="593" customFormat="false" ht="15" hidden="false" customHeight="false" outlineLevel="0" collapsed="false">
      <c r="B593" s="0" t="str">
        <f aca="false">HYPERLINK("https://genome.ucsc.edu/cgi-bin/hgTracks?db=hg19&amp;position=chr8%3A145625525%2D145625529", "chr8:145625525")</f>
        <v>chr8:145625525</v>
      </c>
      <c r="C593" s="0" t="s">
        <v>1873</v>
      </c>
      <c r="D593" s="0" t="n">
        <v>145625525</v>
      </c>
      <c r="E593" s="0" t="n">
        <v>145625529</v>
      </c>
      <c r="F593" s="0" t="s">
        <v>3102</v>
      </c>
      <c r="G593" s="0" t="s">
        <v>200</v>
      </c>
      <c r="H593" s="0" t="s">
        <v>3103</v>
      </c>
      <c r="I593" s="0" t="s">
        <v>1146</v>
      </c>
      <c r="J593" s="0" t="s">
        <v>3104</v>
      </c>
      <c r="K593" s="0" t="s">
        <v>46</v>
      </c>
      <c r="L593" s="0" t="str">
        <f aca="false">HYPERLINK("https://www.ncbi.nlm.nih.gov/snp/rs782343739", "rs782343739")</f>
        <v>rs782343739</v>
      </c>
      <c r="M593" s="0" t="str">
        <f aca="false">HYPERLINK("https://www.genecards.org/Search/Keyword?queryString=%5Baliases%5D(%20CPSF1%20)&amp;keywords=CPSF1", "CPSF1")</f>
        <v>CPSF1</v>
      </c>
      <c r="N593" s="0" t="s">
        <v>2432</v>
      </c>
      <c r="O593" s="0" t="s">
        <v>2265</v>
      </c>
      <c r="P593" s="0" t="s">
        <v>3105</v>
      </c>
      <c r="Q593" s="0" t="n">
        <v>0.0236</v>
      </c>
      <c r="R593" s="0" t="n">
        <v>0.0241</v>
      </c>
      <c r="S593" s="0" t="n">
        <v>0.0257</v>
      </c>
      <c r="T593" s="0" t="n">
        <v>-1</v>
      </c>
      <c r="U593" s="0" t="n">
        <v>0.0286</v>
      </c>
      <c r="V593" s="0" t="s">
        <v>46</v>
      </c>
      <c r="W593" s="0" t="s">
        <v>46</v>
      </c>
      <c r="X593" s="0" t="s">
        <v>46</v>
      </c>
      <c r="Y593" s="0" t="s">
        <v>46</v>
      </c>
      <c r="Z593" s="0" t="s">
        <v>46</v>
      </c>
      <c r="AA593" s="0" t="s">
        <v>46</v>
      </c>
      <c r="AB593" s="0" t="s">
        <v>46</v>
      </c>
      <c r="AC593" s="0" t="s">
        <v>51</v>
      </c>
      <c r="AD593" s="0" t="s">
        <v>52</v>
      </c>
      <c r="AE593" s="0" t="s">
        <v>3106</v>
      </c>
      <c r="AF593" s="0" t="s">
        <v>3107</v>
      </c>
      <c r="AG593" s="0" t="s">
        <v>3108</v>
      </c>
      <c r="AH593" s="0" t="s">
        <v>46</v>
      </c>
      <c r="AI593" s="0" t="s">
        <v>46</v>
      </c>
      <c r="AJ593" s="0" t="s">
        <v>46</v>
      </c>
      <c r="AK593" s="0" t="s">
        <v>46</v>
      </c>
      <c r="AL593" s="0" t="s">
        <v>46</v>
      </c>
    </row>
    <row r="594" customFormat="false" ht="15" hidden="false" customHeight="false" outlineLevel="0" collapsed="false">
      <c r="B594" s="0" t="str">
        <f aca="false">HYPERLINK("https://genome.ucsc.edu/cgi-bin/hgTracks?db=hg19&amp;position=chr9%3A21802984%2D21802984", "chr9:21802984")</f>
        <v>chr9:21802984</v>
      </c>
      <c r="C594" s="0" t="s">
        <v>142</v>
      </c>
      <c r="D594" s="0" t="n">
        <v>21802984</v>
      </c>
      <c r="E594" s="0" t="n">
        <v>21802984</v>
      </c>
      <c r="F594" s="0" t="s">
        <v>200</v>
      </c>
      <c r="G594" s="0" t="s">
        <v>3109</v>
      </c>
      <c r="H594" s="0" t="s">
        <v>3110</v>
      </c>
      <c r="I594" s="0" t="s">
        <v>434</v>
      </c>
      <c r="J594" s="0" t="s">
        <v>1336</v>
      </c>
      <c r="K594" s="0" t="s">
        <v>46</v>
      </c>
      <c r="L594" s="0" t="str">
        <f aca="false">HYPERLINK("https://www.ncbi.nlm.nih.gov/snp/rs765476186", "rs765476186")</f>
        <v>rs765476186</v>
      </c>
      <c r="M594" s="0" t="str">
        <f aca="false">HYPERLINK("https://www.genecards.org/Search/Keyword?queryString=%5Baliases%5D(%20MTAP%20)&amp;keywords=MTAP", "MTAP")</f>
        <v>MTAP</v>
      </c>
      <c r="N594" s="0" t="s">
        <v>2213</v>
      </c>
      <c r="O594" s="0" t="s">
        <v>46</v>
      </c>
      <c r="P594" s="0" t="s">
        <v>46</v>
      </c>
      <c r="Q594" s="0" t="n">
        <v>-1</v>
      </c>
      <c r="R594" s="0" t="n">
        <v>-1</v>
      </c>
      <c r="S594" s="0" t="n">
        <v>-1</v>
      </c>
      <c r="T594" s="0" t="n">
        <v>-1</v>
      </c>
      <c r="U594" s="0" t="n">
        <v>-1</v>
      </c>
      <c r="V594" s="0" t="s">
        <v>46</v>
      </c>
      <c r="W594" s="0" t="s">
        <v>46</v>
      </c>
      <c r="X594" s="0" t="s">
        <v>46</v>
      </c>
      <c r="Y594" s="0" t="s">
        <v>46</v>
      </c>
      <c r="Z594" s="0" t="s">
        <v>46</v>
      </c>
      <c r="AA594" s="0" t="s">
        <v>46</v>
      </c>
      <c r="AB594" s="0" t="s">
        <v>46</v>
      </c>
      <c r="AC594" s="0" t="s">
        <v>51</v>
      </c>
      <c r="AD594" s="0" t="s">
        <v>52</v>
      </c>
      <c r="AE594" s="0" t="s">
        <v>3111</v>
      </c>
      <c r="AF594" s="0" t="s">
        <v>3112</v>
      </c>
      <c r="AG594" s="0" t="s">
        <v>3113</v>
      </c>
      <c r="AH594" s="0" t="s">
        <v>3114</v>
      </c>
      <c r="AI594" s="0" t="s">
        <v>802</v>
      </c>
      <c r="AJ594" s="0" t="s">
        <v>46</v>
      </c>
      <c r="AK594" s="0" t="s">
        <v>46</v>
      </c>
      <c r="AL594" s="0" t="s">
        <v>46</v>
      </c>
    </row>
    <row r="595" customFormat="false" ht="15" hidden="false" customHeight="false" outlineLevel="0" collapsed="false">
      <c r="B595" s="0" t="str">
        <f aca="false">HYPERLINK("https://genome.ucsc.edu/cgi-bin/hgTracks?db=hg19&amp;position=chr9%3A33352001%2D33352001", "chr9:33352001")</f>
        <v>chr9:33352001</v>
      </c>
      <c r="C595" s="0" t="s">
        <v>142</v>
      </c>
      <c r="D595" s="0" t="n">
        <v>33352001</v>
      </c>
      <c r="E595" s="0" t="n">
        <v>33352001</v>
      </c>
      <c r="F595" s="0" t="s">
        <v>39</v>
      </c>
      <c r="G595" s="0" t="s">
        <v>57</v>
      </c>
      <c r="H595" s="0" t="s">
        <v>3115</v>
      </c>
      <c r="I595" s="0" t="s">
        <v>111</v>
      </c>
      <c r="J595" s="0" t="s">
        <v>2882</v>
      </c>
      <c r="K595" s="0" t="s">
        <v>46</v>
      </c>
      <c r="L595" s="0" t="str">
        <f aca="false">HYPERLINK("https://www.ncbi.nlm.nih.gov/snp/rs146425876", "rs146425876")</f>
        <v>rs146425876</v>
      </c>
      <c r="M595" s="0" t="str">
        <f aca="false">HYPERLINK("https://www.genecards.org/Search/Keyword?queryString=%5Baliases%5D(%20NFX1%20)&amp;keywords=NFX1", "NFX1")</f>
        <v>NFX1</v>
      </c>
      <c r="N595" s="0" t="s">
        <v>62</v>
      </c>
      <c r="O595" s="0" t="s">
        <v>46</v>
      </c>
      <c r="P595" s="0" t="s">
        <v>46</v>
      </c>
      <c r="Q595" s="0" t="n">
        <v>0.0092</v>
      </c>
      <c r="R595" s="0" t="n">
        <v>0.0032</v>
      </c>
      <c r="S595" s="0" t="n">
        <v>0.0037</v>
      </c>
      <c r="T595" s="0" t="n">
        <v>-1</v>
      </c>
      <c r="U595" s="0" t="n">
        <v>0.0041</v>
      </c>
      <c r="V595" s="0" t="s">
        <v>46</v>
      </c>
      <c r="W595" s="0" t="s">
        <v>46</v>
      </c>
      <c r="X595" s="0" t="s">
        <v>999</v>
      </c>
      <c r="Y595" s="0" t="s">
        <v>64</v>
      </c>
      <c r="Z595" s="0" t="s">
        <v>46</v>
      </c>
      <c r="AA595" s="0" t="s">
        <v>46</v>
      </c>
      <c r="AB595" s="0" t="s">
        <v>46</v>
      </c>
      <c r="AC595" s="0" t="s">
        <v>51</v>
      </c>
      <c r="AD595" s="0" t="s">
        <v>52</v>
      </c>
      <c r="AE595" s="0" t="s">
        <v>3116</v>
      </c>
      <c r="AF595" s="0" t="s">
        <v>3117</v>
      </c>
      <c r="AG595" s="0" t="s">
        <v>3118</v>
      </c>
      <c r="AH595" s="0" t="s">
        <v>46</v>
      </c>
      <c r="AI595" s="0" t="s">
        <v>46</v>
      </c>
      <c r="AJ595" s="0" t="s">
        <v>46</v>
      </c>
      <c r="AK595" s="0" t="s">
        <v>46</v>
      </c>
      <c r="AL595" s="0" t="s">
        <v>46</v>
      </c>
    </row>
    <row r="596" customFormat="false" ht="15" hidden="false" customHeight="false" outlineLevel="0" collapsed="false">
      <c r="B596" s="0" t="str">
        <f aca="false">HYPERLINK("https://genome.ucsc.edu/cgi-bin/hgTracks?db=hg19&amp;position=chr9%3A72874183%2D72874183", "chr9:72874183")</f>
        <v>chr9:72874183</v>
      </c>
      <c r="C596" s="0" t="s">
        <v>142</v>
      </c>
      <c r="D596" s="0" t="n">
        <v>72874183</v>
      </c>
      <c r="E596" s="0" t="n">
        <v>72874183</v>
      </c>
      <c r="F596" s="0" t="s">
        <v>57</v>
      </c>
      <c r="G596" s="0" t="s">
        <v>39</v>
      </c>
      <c r="H596" s="0" t="s">
        <v>3119</v>
      </c>
      <c r="I596" s="0" t="s">
        <v>1323</v>
      </c>
      <c r="J596" s="0" t="s">
        <v>1983</v>
      </c>
      <c r="K596" s="0" t="s">
        <v>46</v>
      </c>
      <c r="L596" s="0" t="str">
        <f aca="false">HYPERLINK("https://www.ncbi.nlm.nih.gov/snp/rs147023168", "rs147023168")</f>
        <v>rs147023168</v>
      </c>
      <c r="M596" s="0" t="str">
        <f aca="false">HYPERLINK("https://www.genecards.org/Search/Keyword?queryString=%5Baliases%5D(%20SMC5%20)&amp;keywords=SMC5", "SMC5")</f>
        <v>SMC5</v>
      </c>
      <c r="N596" s="0" t="s">
        <v>62</v>
      </c>
      <c r="O596" s="0" t="s">
        <v>46</v>
      </c>
      <c r="P596" s="0" t="s">
        <v>46</v>
      </c>
      <c r="Q596" s="0" t="n">
        <v>0.0128</v>
      </c>
      <c r="R596" s="0" t="n">
        <v>0.0125</v>
      </c>
      <c r="S596" s="0" t="n">
        <v>0.0128</v>
      </c>
      <c r="T596" s="0" t="n">
        <v>-1</v>
      </c>
      <c r="U596" s="0" t="n">
        <v>0.012</v>
      </c>
      <c r="V596" s="0" t="s">
        <v>46</v>
      </c>
      <c r="W596" s="0" t="s">
        <v>999</v>
      </c>
      <c r="X596" s="0" t="s">
        <v>46</v>
      </c>
      <c r="Y596" s="0" t="s">
        <v>46</v>
      </c>
      <c r="Z596" s="0" t="s">
        <v>46</v>
      </c>
      <c r="AA596" s="0" t="s">
        <v>46</v>
      </c>
      <c r="AB596" s="0" t="s">
        <v>46</v>
      </c>
      <c r="AC596" s="0" t="s">
        <v>51</v>
      </c>
      <c r="AD596" s="0" t="s">
        <v>52</v>
      </c>
      <c r="AE596" s="0" t="s">
        <v>3120</v>
      </c>
      <c r="AF596" s="0" t="s">
        <v>3121</v>
      </c>
      <c r="AG596" s="0" t="s">
        <v>3122</v>
      </c>
      <c r="AH596" s="0" t="s">
        <v>46</v>
      </c>
      <c r="AI596" s="0" t="s">
        <v>46</v>
      </c>
      <c r="AJ596" s="0" t="s">
        <v>46</v>
      </c>
      <c r="AK596" s="0" t="s">
        <v>46</v>
      </c>
      <c r="AL596" s="0" t="s">
        <v>46</v>
      </c>
    </row>
    <row r="597" customFormat="false" ht="15" hidden="false" customHeight="false" outlineLevel="0" collapsed="false">
      <c r="B597" s="0" t="str">
        <f aca="false">HYPERLINK("https://genome.ucsc.edu/cgi-bin/hgTracks?db=hg19&amp;position=chr9%3A97365952%2D97365952", "chr9:97365952")</f>
        <v>chr9:97365952</v>
      </c>
      <c r="C597" s="0" t="s">
        <v>142</v>
      </c>
      <c r="D597" s="0" t="n">
        <v>97365952</v>
      </c>
      <c r="E597" s="0" t="n">
        <v>97365952</v>
      </c>
      <c r="F597" s="0" t="s">
        <v>40</v>
      </c>
      <c r="G597" s="0" t="s">
        <v>69</v>
      </c>
      <c r="H597" s="0" t="s">
        <v>3123</v>
      </c>
      <c r="I597" s="0" t="s">
        <v>178</v>
      </c>
      <c r="J597" s="0" t="s">
        <v>442</v>
      </c>
      <c r="K597" s="0" t="s">
        <v>46</v>
      </c>
      <c r="L597" s="0" t="str">
        <f aca="false">HYPERLINK("https://www.ncbi.nlm.nih.gov/snp/rs41281160", "rs41281160")</f>
        <v>rs41281160</v>
      </c>
      <c r="M597" s="0" t="str">
        <f aca="false">HYPERLINK("https://www.genecards.org/Search/Keyword?queryString=%5Baliases%5D(%20FBP1%20)&amp;keywords=FBP1", "FBP1")</f>
        <v>FBP1</v>
      </c>
      <c r="N597" s="0" t="s">
        <v>1261</v>
      </c>
      <c r="O597" s="0" t="s">
        <v>46</v>
      </c>
      <c r="P597" s="0" t="s">
        <v>46</v>
      </c>
      <c r="Q597" s="0" t="n">
        <v>0.0109</v>
      </c>
      <c r="R597" s="0" t="n">
        <v>0.0054</v>
      </c>
      <c r="S597" s="0" t="n">
        <v>0.0056</v>
      </c>
      <c r="T597" s="0" t="n">
        <v>-1</v>
      </c>
      <c r="U597" s="0" t="n">
        <v>0.0051</v>
      </c>
      <c r="V597" s="0" t="s">
        <v>46</v>
      </c>
      <c r="W597" s="0" t="s">
        <v>46</v>
      </c>
      <c r="X597" s="0" t="s">
        <v>46</v>
      </c>
      <c r="Y597" s="0" t="s">
        <v>46</v>
      </c>
      <c r="Z597" s="0" t="s">
        <v>46</v>
      </c>
      <c r="AA597" s="0" t="s">
        <v>46</v>
      </c>
      <c r="AB597" s="0" t="s">
        <v>46</v>
      </c>
      <c r="AC597" s="0" t="s">
        <v>51</v>
      </c>
      <c r="AD597" s="0" t="s">
        <v>52</v>
      </c>
      <c r="AE597" s="0" t="s">
        <v>3124</v>
      </c>
      <c r="AF597" s="0" t="s">
        <v>3125</v>
      </c>
      <c r="AG597" s="0" t="s">
        <v>3126</v>
      </c>
      <c r="AH597" s="0" t="s">
        <v>3127</v>
      </c>
      <c r="AI597" s="0" t="s">
        <v>46</v>
      </c>
      <c r="AJ597" s="0" t="s">
        <v>46</v>
      </c>
      <c r="AK597" s="0" t="s">
        <v>46</v>
      </c>
      <c r="AL597" s="0" t="s">
        <v>46</v>
      </c>
    </row>
    <row r="598" customFormat="false" ht="15" hidden="false" customHeight="false" outlineLevel="0" collapsed="false">
      <c r="B598" s="0" t="str">
        <f aca="false">HYPERLINK("https://genome.ucsc.edu/cgi-bin/hgTracks?db=hg19&amp;position=chr9%3A100093085%2D100093085", "chr9:100093085")</f>
        <v>chr9:100093085</v>
      </c>
      <c r="C598" s="0" t="s">
        <v>142</v>
      </c>
      <c r="D598" s="0" t="n">
        <v>100093085</v>
      </c>
      <c r="E598" s="0" t="n">
        <v>100093085</v>
      </c>
      <c r="F598" s="0" t="s">
        <v>57</v>
      </c>
      <c r="G598" s="0" t="s">
        <v>69</v>
      </c>
      <c r="H598" s="0" t="s">
        <v>3128</v>
      </c>
      <c r="I598" s="0" t="s">
        <v>581</v>
      </c>
      <c r="J598" s="0" t="s">
        <v>3129</v>
      </c>
      <c r="K598" s="0" t="s">
        <v>46</v>
      </c>
      <c r="L598" s="0" t="str">
        <f aca="false">HYPERLINK("https://www.ncbi.nlm.nih.gov/snp/rs188387437", "rs188387437")</f>
        <v>rs188387437</v>
      </c>
      <c r="M598" s="0" t="str">
        <f aca="false">HYPERLINK("https://www.genecards.org/Search/Keyword?queryString=%5Baliases%5D(%20CCDC180%20)%20OR%20%5Baliases%5D(%20LOC100499484-C9ORF174%20)%20OR%20%5Baliases%5D(%20SUGT1P4-STRA6LP-CCDC180%20)&amp;keywords=CCDC180,LOC100499484-C9ORF174,SUGT1P4-STRA6LP-CCDC180", "CCDC180;LOC100499484-C9ORF174;SUGT1P4-STRA6LP-CCDC180")</f>
        <v>CCDC180;LOC100499484-C9ORF174;SUGT1P4-STRA6LP-CCDC180</v>
      </c>
      <c r="N598" s="0" t="s">
        <v>2213</v>
      </c>
      <c r="O598" s="0" t="s">
        <v>46</v>
      </c>
      <c r="P598" s="0" t="s">
        <v>46</v>
      </c>
      <c r="Q598" s="0" t="n">
        <v>0.007</v>
      </c>
      <c r="R598" s="0" t="n">
        <v>0.0049</v>
      </c>
      <c r="S598" s="0" t="n">
        <v>0.0054</v>
      </c>
      <c r="T598" s="0" t="n">
        <v>-1</v>
      </c>
      <c r="U598" s="0" t="n">
        <v>0.0041</v>
      </c>
      <c r="V598" s="0" t="s">
        <v>46</v>
      </c>
      <c r="W598" s="0" t="s">
        <v>46</v>
      </c>
      <c r="X598" s="0" t="s">
        <v>999</v>
      </c>
      <c r="Y598" s="0" t="s">
        <v>64</v>
      </c>
      <c r="Z598" s="0" t="s">
        <v>46</v>
      </c>
      <c r="AA598" s="0" t="s">
        <v>46</v>
      </c>
      <c r="AB598" s="0" t="s">
        <v>46</v>
      </c>
      <c r="AC598" s="0" t="s">
        <v>51</v>
      </c>
      <c r="AD598" s="0" t="s">
        <v>2737</v>
      </c>
      <c r="AE598" s="0" t="s">
        <v>3130</v>
      </c>
      <c r="AF598" s="0" t="s">
        <v>3131</v>
      </c>
      <c r="AG598" s="0" t="s">
        <v>46</v>
      </c>
      <c r="AH598" s="0" t="s">
        <v>46</v>
      </c>
      <c r="AI598" s="0" t="s">
        <v>46</v>
      </c>
      <c r="AJ598" s="0" t="s">
        <v>46</v>
      </c>
      <c r="AK598" s="0" t="s">
        <v>46</v>
      </c>
      <c r="AL598" s="0" t="s">
        <v>46</v>
      </c>
    </row>
    <row r="599" customFormat="false" ht="15" hidden="false" customHeight="false" outlineLevel="0" collapsed="false">
      <c r="B599" s="0" t="str">
        <f aca="false">HYPERLINK("https://genome.ucsc.edu/cgi-bin/hgTracks?db=hg19&amp;position=chr9%3A113137745%2D113137745", "chr9:113137745")</f>
        <v>chr9:113137745</v>
      </c>
      <c r="C599" s="0" t="s">
        <v>142</v>
      </c>
      <c r="D599" s="0" t="n">
        <v>113137745</v>
      </c>
      <c r="E599" s="0" t="n">
        <v>113137745</v>
      </c>
      <c r="F599" s="0" t="s">
        <v>200</v>
      </c>
      <c r="G599" s="0" t="s">
        <v>2600</v>
      </c>
      <c r="H599" s="0" t="s">
        <v>3132</v>
      </c>
      <c r="I599" s="0" t="s">
        <v>111</v>
      </c>
      <c r="J599" s="0" t="s">
        <v>3133</v>
      </c>
      <c r="K599" s="0" t="s">
        <v>46</v>
      </c>
      <c r="L599" s="0" t="str">
        <f aca="false">HYPERLINK("https://www.ncbi.nlm.nih.gov/snp/rs754784174", "rs754784174")</f>
        <v>rs754784174</v>
      </c>
      <c r="M599" s="0" t="str">
        <f aca="false">HYPERLINK("https://www.genecards.org/Search/Keyword?queryString=%5Baliases%5D(%20SVEP1%20)&amp;keywords=SVEP1", "SVEP1")</f>
        <v>SVEP1</v>
      </c>
      <c r="N599" s="0" t="s">
        <v>205</v>
      </c>
      <c r="O599" s="0" t="s">
        <v>46</v>
      </c>
      <c r="P599" s="0" t="s">
        <v>3134</v>
      </c>
      <c r="Q599" s="0" t="n">
        <v>7.76E-005</v>
      </c>
      <c r="R599" s="0" t="n">
        <v>-1</v>
      </c>
      <c r="S599" s="0" t="n">
        <v>-1</v>
      </c>
      <c r="T599" s="0" t="n">
        <v>-1</v>
      </c>
      <c r="U599" s="0" t="n">
        <v>-1</v>
      </c>
      <c r="V599" s="0" t="s">
        <v>46</v>
      </c>
      <c r="W599" s="0" t="s">
        <v>46</v>
      </c>
      <c r="X599" s="0" t="s">
        <v>46</v>
      </c>
      <c r="Y599" s="0" t="s">
        <v>46</v>
      </c>
      <c r="Z599" s="0" t="s">
        <v>46</v>
      </c>
      <c r="AA599" s="0" t="s">
        <v>46</v>
      </c>
      <c r="AB599" s="0" t="s">
        <v>46</v>
      </c>
      <c r="AC599" s="0" t="s">
        <v>51</v>
      </c>
      <c r="AD599" s="0" t="s">
        <v>52</v>
      </c>
      <c r="AE599" s="0" t="s">
        <v>3135</v>
      </c>
      <c r="AF599" s="0" t="s">
        <v>3136</v>
      </c>
      <c r="AG599" s="0" t="s">
        <v>3137</v>
      </c>
      <c r="AH599" s="0" t="s">
        <v>46</v>
      </c>
      <c r="AI599" s="0" t="s">
        <v>46</v>
      </c>
      <c r="AJ599" s="0" t="s">
        <v>46</v>
      </c>
      <c r="AK599" s="0" t="s">
        <v>46</v>
      </c>
      <c r="AL599" s="0" t="s">
        <v>46</v>
      </c>
    </row>
    <row r="600" customFormat="false" ht="15" hidden="false" customHeight="false" outlineLevel="0" collapsed="false">
      <c r="B600" s="0" t="str">
        <f aca="false">HYPERLINK("https://genome.ucsc.edu/cgi-bin/hgTracks?db=hg19&amp;position=chrX%3A2832668%2D2832668", "chrX:2832668")</f>
        <v>chrX:2832668</v>
      </c>
      <c r="C600" s="0" t="s">
        <v>1962</v>
      </c>
      <c r="D600" s="0" t="n">
        <v>2832668</v>
      </c>
      <c r="E600" s="0" t="n">
        <v>2832668</v>
      </c>
      <c r="F600" s="0" t="s">
        <v>57</v>
      </c>
      <c r="G600" s="0" t="s">
        <v>69</v>
      </c>
      <c r="H600" s="0" t="s">
        <v>3138</v>
      </c>
      <c r="I600" s="0" t="s">
        <v>348</v>
      </c>
      <c r="J600" s="0" t="s">
        <v>349</v>
      </c>
      <c r="K600" s="0" t="s">
        <v>46</v>
      </c>
      <c r="L600" s="0" t="str">
        <f aca="false">HYPERLINK("https://www.ncbi.nlm.nih.gov/snp/rs139484145", "rs139484145")</f>
        <v>rs139484145</v>
      </c>
      <c r="M600" s="0" t="str">
        <f aca="false">HYPERLINK("https://www.genecards.org/Search/Keyword?queryString=%5Baliases%5D(%20ARSD%20)&amp;keywords=ARSD", "ARSD")</f>
        <v>ARSD</v>
      </c>
      <c r="N600" s="0" t="s">
        <v>1888</v>
      </c>
      <c r="O600" s="0" t="s">
        <v>554</v>
      </c>
      <c r="P600" s="0" t="s">
        <v>3139</v>
      </c>
      <c r="Q600" s="0" t="n">
        <v>0.0028978</v>
      </c>
      <c r="R600" s="0" t="n">
        <v>0.0025</v>
      </c>
      <c r="S600" s="0" t="n">
        <v>0.0031</v>
      </c>
      <c r="T600" s="0" t="n">
        <v>-1</v>
      </c>
      <c r="U600" s="0" t="n">
        <v>0.0083</v>
      </c>
      <c r="V600" s="0" t="s">
        <v>46</v>
      </c>
      <c r="W600" s="0" t="s">
        <v>46</v>
      </c>
      <c r="X600" s="0" t="s">
        <v>46</v>
      </c>
      <c r="Y600" s="0" t="s">
        <v>46</v>
      </c>
      <c r="Z600" s="0" t="s">
        <v>46</v>
      </c>
      <c r="AA600" s="0" t="s">
        <v>46</v>
      </c>
      <c r="AB600" s="0" t="s">
        <v>46</v>
      </c>
      <c r="AC600" s="0" t="s">
        <v>51</v>
      </c>
      <c r="AD600" s="0" t="s">
        <v>856</v>
      </c>
      <c r="AE600" s="0" t="s">
        <v>3140</v>
      </c>
      <c r="AF600" s="0" t="s">
        <v>3141</v>
      </c>
      <c r="AG600" s="0" t="s">
        <v>46</v>
      </c>
      <c r="AH600" s="0" t="s">
        <v>46</v>
      </c>
      <c r="AI600" s="0" t="s">
        <v>46</v>
      </c>
      <c r="AJ600" s="0" t="s">
        <v>46</v>
      </c>
      <c r="AK600" s="0" t="s">
        <v>46</v>
      </c>
      <c r="AL600" s="0" t="s">
        <v>46</v>
      </c>
    </row>
    <row r="601" customFormat="false" ht="15" hidden="false" customHeight="false" outlineLevel="0" collapsed="false">
      <c r="B601" s="0" t="str">
        <f aca="false">HYPERLINK("https://genome.ucsc.edu/cgi-bin/hgTracks?db=hg19&amp;position=chrX%3A2836349%2D2836349", "chrX:2836349")</f>
        <v>chrX:2836349</v>
      </c>
      <c r="C601" s="0" t="s">
        <v>1962</v>
      </c>
      <c r="D601" s="0" t="n">
        <v>2836349</v>
      </c>
      <c r="E601" s="0" t="n">
        <v>2836349</v>
      </c>
      <c r="F601" s="0" t="s">
        <v>69</v>
      </c>
      <c r="G601" s="0" t="s">
        <v>39</v>
      </c>
      <c r="H601" s="0" t="s">
        <v>534</v>
      </c>
      <c r="I601" s="0" t="s">
        <v>288</v>
      </c>
      <c r="J601" s="0" t="s">
        <v>3142</v>
      </c>
      <c r="K601" s="0" t="s">
        <v>46</v>
      </c>
      <c r="L601" s="0" t="str">
        <f aca="false">HYPERLINK("https://www.ncbi.nlm.nih.gov/snp/rs111614007", "rs111614007")</f>
        <v>rs111614007</v>
      </c>
      <c r="M601" s="0" t="str">
        <f aca="false">HYPERLINK("https://www.genecards.org/Search/Keyword?queryString=%5Baliases%5D(%20ARSD%20)&amp;keywords=ARSD", "ARSD")</f>
        <v>ARSD</v>
      </c>
      <c r="N601" s="0" t="s">
        <v>62</v>
      </c>
      <c r="O601" s="0" t="s">
        <v>46</v>
      </c>
      <c r="P601" s="0" t="s">
        <v>46</v>
      </c>
      <c r="Q601" s="0" t="n">
        <v>0.003576</v>
      </c>
      <c r="R601" s="0" t="n">
        <v>0.0025</v>
      </c>
      <c r="S601" s="0" t="n">
        <v>0.0032</v>
      </c>
      <c r="T601" s="0" t="n">
        <v>-1</v>
      </c>
      <c r="U601" s="0" t="n">
        <v>0.0084</v>
      </c>
      <c r="V601" s="0" t="s">
        <v>46</v>
      </c>
      <c r="W601" s="0" t="s">
        <v>46</v>
      </c>
      <c r="X601" s="0" t="s">
        <v>999</v>
      </c>
      <c r="Y601" s="0" t="s">
        <v>64</v>
      </c>
      <c r="Z601" s="0" t="s">
        <v>46</v>
      </c>
      <c r="AA601" s="0" t="s">
        <v>46</v>
      </c>
      <c r="AB601" s="0" t="s">
        <v>46</v>
      </c>
      <c r="AC601" s="0" t="s">
        <v>51</v>
      </c>
      <c r="AD601" s="0" t="s">
        <v>856</v>
      </c>
      <c r="AE601" s="0" t="s">
        <v>3140</v>
      </c>
      <c r="AF601" s="0" t="s">
        <v>3141</v>
      </c>
      <c r="AG601" s="0" t="s">
        <v>46</v>
      </c>
      <c r="AH601" s="0" t="s">
        <v>46</v>
      </c>
      <c r="AI601" s="0" t="s">
        <v>46</v>
      </c>
      <c r="AJ601" s="0" t="s">
        <v>46</v>
      </c>
      <c r="AK601" s="0" t="s">
        <v>46</v>
      </c>
      <c r="AL601" s="0" t="s">
        <v>46</v>
      </c>
    </row>
    <row r="602" customFormat="false" ht="15" hidden="false" customHeight="false" outlineLevel="0" collapsed="false">
      <c r="B602" s="0" t="str">
        <f aca="false">HYPERLINK("https://genome.ucsc.edu/cgi-bin/hgTracks?db=hg19&amp;position=chrX%3A49021080%2D49021083", "chrX:49021080")</f>
        <v>chrX:49021080</v>
      </c>
      <c r="C602" s="0" t="s">
        <v>1962</v>
      </c>
      <c r="D602" s="0" t="n">
        <v>49021080</v>
      </c>
      <c r="E602" s="0" t="n">
        <v>49021083</v>
      </c>
      <c r="F602" s="0" t="s">
        <v>3143</v>
      </c>
      <c r="G602" s="0" t="s">
        <v>200</v>
      </c>
      <c r="H602" s="0" t="s">
        <v>3144</v>
      </c>
      <c r="I602" s="0" t="s">
        <v>355</v>
      </c>
      <c r="J602" s="0" t="s">
        <v>3145</v>
      </c>
      <c r="K602" s="0" t="s">
        <v>46</v>
      </c>
      <c r="L602" s="0" t="s">
        <v>46</v>
      </c>
      <c r="M602" s="0" t="str">
        <f aca="false">HYPERLINK("https://www.genecards.org/Search/Keyword?queryString=%5Baliases%5D(%20MAGIX%20)&amp;keywords=MAGIX", "MAGIX")</f>
        <v>MAGIX</v>
      </c>
      <c r="N602" s="0" t="s">
        <v>98</v>
      </c>
      <c r="O602" s="0" t="s">
        <v>2265</v>
      </c>
      <c r="P602" s="0" t="s">
        <v>3146</v>
      </c>
      <c r="Q602" s="0" t="n">
        <v>-1</v>
      </c>
      <c r="R602" s="0" t="n">
        <v>-1</v>
      </c>
      <c r="S602" s="0" t="n">
        <v>-1</v>
      </c>
      <c r="T602" s="0" t="n">
        <v>-1</v>
      </c>
      <c r="U602" s="0" t="n">
        <v>-1</v>
      </c>
      <c r="V602" s="0" t="s">
        <v>46</v>
      </c>
      <c r="W602" s="0" t="s">
        <v>46</v>
      </c>
      <c r="X602" s="0" t="s">
        <v>46</v>
      </c>
      <c r="Y602" s="0" t="s">
        <v>46</v>
      </c>
      <c r="Z602" s="0" t="s">
        <v>46</v>
      </c>
      <c r="AA602" s="0" t="s">
        <v>46</v>
      </c>
      <c r="AB602" s="0" t="s">
        <v>46</v>
      </c>
      <c r="AC602" s="0" t="s">
        <v>1190</v>
      </c>
      <c r="AD602" s="0" t="s">
        <v>52</v>
      </c>
      <c r="AE602" s="0" t="s">
        <v>3147</v>
      </c>
      <c r="AF602" s="0" t="s">
        <v>3148</v>
      </c>
      <c r="AG602" s="0" t="s">
        <v>46</v>
      </c>
      <c r="AH602" s="0" t="s">
        <v>46</v>
      </c>
      <c r="AI602" s="0" t="s">
        <v>46</v>
      </c>
      <c r="AJ602" s="0" t="s">
        <v>46</v>
      </c>
      <c r="AK602" s="0" t="s">
        <v>46</v>
      </c>
      <c r="AL602" s="0" t="s">
        <v>46</v>
      </c>
    </row>
    <row r="603" customFormat="false" ht="15" hidden="false" customHeight="false" outlineLevel="0" collapsed="false">
      <c r="B603" s="0" t="str">
        <f aca="false">HYPERLINK("https://genome.ucsc.edu/cgi-bin/hgTracks?db=hg19&amp;position=chrX%3A55172685%2D55172685", "chrX:55172685")</f>
        <v>chrX:55172685</v>
      </c>
      <c r="C603" s="0" t="s">
        <v>1962</v>
      </c>
      <c r="D603" s="0" t="n">
        <v>55172685</v>
      </c>
      <c r="E603" s="0" t="n">
        <v>55172685</v>
      </c>
      <c r="F603" s="0" t="s">
        <v>200</v>
      </c>
      <c r="G603" s="0" t="s">
        <v>40</v>
      </c>
      <c r="H603" s="0" t="s">
        <v>3149</v>
      </c>
      <c r="I603" s="0" t="s">
        <v>772</v>
      </c>
      <c r="J603" s="0" t="s">
        <v>3150</v>
      </c>
      <c r="K603" s="0" t="s">
        <v>46</v>
      </c>
      <c r="L603" s="0" t="s">
        <v>46</v>
      </c>
      <c r="M603" s="0" t="str">
        <f aca="false">HYPERLINK("https://www.genecards.org/Search/Keyword?queryString=%5Baliases%5D(%20FAM104B%20)&amp;keywords=FAM104B", "FAM104B")</f>
        <v>FAM104B</v>
      </c>
      <c r="N603" s="0" t="s">
        <v>98</v>
      </c>
      <c r="O603" s="0" t="s">
        <v>2206</v>
      </c>
      <c r="P603" s="0" t="s">
        <v>3151</v>
      </c>
      <c r="Q603" s="0" t="n">
        <v>-1</v>
      </c>
      <c r="R603" s="0" t="n">
        <v>-1</v>
      </c>
      <c r="S603" s="0" t="n">
        <v>-1</v>
      </c>
      <c r="T603" s="0" t="n">
        <v>-1</v>
      </c>
      <c r="U603" s="0" t="n">
        <v>-1</v>
      </c>
      <c r="V603" s="0" t="s">
        <v>46</v>
      </c>
      <c r="W603" s="0" t="s">
        <v>46</v>
      </c>
      <c r="X603" s="0" t="s">
        <v>46</v>
      </c>
      <c r="Y603" s="0" t="s">
        <v>46</v>
      </c>
      <c r="Z603" s="0" t="s">
        <v>46</v>
      </c>
      <c r="AA603" s="0" t="s">
        <v>46</v>
      </c>
      <c r="AB603" s="0" t="s">
        <v>46</v>
      </c>
      <c r="AC603" s="0" t="s">
        <v>51</v>
      </c>
      <c r="AD603" s="0" t="s">
        <v>434</v>
      </c>
      <c r="AE603" s="0" t="s">
        <v>1973</v>
      </c>
      <c r="AF603" s="0" t="s">
        <v>1974</v>
      </c>
      <c r="AG603" s="0" t="s">
        <v>46</v>
      </c>
      <c r="AH603" s="0" t="s">
        <v>46</v>
      </c>
      <c r="AI603" s="0" t="s">
        <v>301</v>
      </c>
      <c r="AJ603" s="0" t="s">
        <v>46</v>
      </c>
      <c r="AK603" s="0" t="s">
        <v>46</v>
      </c>
      <c r="AL603" s="0" t="s">
        <v>609</v>
      </c>
    </row>
    <row r="604" customFormat="false" ht="15" hidden="false" customHeight="false" outlineLevel="0" collapsed="false">
      <c r="B604" s="0" t="str">
        <f aca="false">HYPERLINK("https://genome.ucsc.edu/cgi-bin/hgTracks?db=hg19&amp;position=chrX%3A55172689%2D55172689", "chrX:55172689")</f>
        <v>chrX:55172689</v>
      </c>
      <c r="C604" s="0" t="s">
        <v>1962</v>
      </c>
      <c r="D604" s="0" t="n">
        <v>55172689</v>
      </c>
      <c r="E604" s="0" t="n">
        <v>55172689</v>
      </c>
      <c r="F604" s="0" t="s">
        <v>69</v>
      </c>
      <c r="G604" s="0" t="s">
        <v>200</v>
      </c>
      <c r="H604" s="0" t="s">
        <v>3152</v>
      </c>
      <c r="I604" s="0" t="s">
        <v>694</v>
      </c>
      <c r="J604" s="0" t="s">
        <v>3153</v>
      </c>
      <c r="K604" s="0" t="s">
        <v>46</v>
      </c>
      <c r="L604" s="0" t="s">
        <v>46</v>
      </c>
      <c r="M604" s="0" t="str">
        <f aca="false">HYPERLINK("https://www.genecards.org/Search/Keyword?queryString=%5Baliases%5D(%20FAM104B%20)&amp;keywords=FAM104B", "FAM104B")</f>
        <v>FAM104B</v>
      </c>
      <c r="N604" s="0" t="s">
        <v>98</v>
      </c>
      <c r="O604" s="0" t="s">
        <v>2265</v>
      </c>
      <c r="P604" s="0" t="s">
        <v>3154</v>
      </c>
      <c r="Q604" s="0" t="n">
        <v>-1</v>
      </c>
      <c r="R604" s="0" t="n">
        <v>-1</v>
      </c>
      <c r="S604" s="0" t="n">
        <v>-1</v>
      </c>
      <c r="T604" s="0" t="n">
        <v>-1</v>
      </c>
      <c r="U604" s="0" t="n">
        <v>-1</v>
      </c>
      <c r="V604" s="0" t="s">
        <v>46</v>
      </c>
      <c r="W604" s="0" t="s">
        <v>46</v>
      </c>
      <c r="X604" s="0" t="s">
        <v>46</v>
      </c>
      <c r="Y604" s="0" t="s">
        <v>46</v>
      </c>
      <c r="Z604" s="0" t="s">
        <v>46</v>
      </c>
      <c r="AA604" s="0" t="s">
        <v>46</v>
      </c>
      <c r="AB604" s="0" t="s">
        <v>46</v>
      </c>
      <c r="AC604" s="0" t="s">
        <v>51</v>
      </c>
      <c r="AD604" s="0" t="s">
        <v>434</v>
      </c>
      <c r="AE604" s="0" t="s">
        <v>1973</v>
      </c>
      <c r="AF604" s="0" t="s">
        <v>1974</v>
      </c>
      <c r="AG604" s="0" t="s">
        <v>46</v>
      </c>
      <c r="AH604" s="0" t="s">
        <v>46</v>
      </c>
      <c r="AI604" s="0" t="s">
        <v>46</v>
      </c>
      <c r="AJ604" s="0" t="s">
        <v>46</v>
      </c>
      <c r="AK604" s="0" t="s">
        <v>46</v>
      </c>
      <c r="AL604" s="0" t="s">
        <v>609</v>
      </c>
    </row>
    <row r="605" customFormat="false" ht="15" hidden="false" customHeight="false" outlineLevel="0" collapsed="false">
      <c r="B605" s="0" t="str">
        <f aca="false">HYPERLINK("https://genome.ucsc.edu/cgi-bin/hgTracks?db=hg19&amp;position=chrX%3A73962753%2D73962771", "chrX:73962753")</f>
        <v>chrX:73962753</v>
      </c>
      <c r="C605" s="0" t="s">
        <v>1962</v>
      </c>
      <c r="D605" s="0" t="n">
        <v>73962753</v>
      </c>
      <c r="E605" s="0" t="n">
        <v>73962771</v>
      </c>
      <c r="F605" s="0" t="s">
        <v>3155</v>
      </c>
      <c r="G605" s="0" t="s">
        <v>200</v>
      </c>
      <c r="H605" s="0" t="s">
        <v>3156</v>
      </c>
      <c r="I605" s="0" t="s">
        <v>413</v>
      </c>
      <c r="J605" s="0" t="s">
        <v>414</v>
      </c>
      <c r="K605" s="0" t="s">
        <v>46</v>
      </c>
      <c r="L605" s="0" t="s">
        <v>46</v>
      </c>
      <c r="M605" s="0" t="str">
        <f aca="false">HYPERLINK("https://www.genecards.org/Search/Keyword?queryString=%5Baliases%5D(%20KIAA2022%20)%20OR%20%5Baliases%5D(%20NEXMIF%20)&amp;keywords=KIAA2022,NEXMIF", "KIAA2022;NEXMIF")</f>
        <v>KIAA2022;NEXMIF</v>
      </c>
      <c r="N605" s="0" t="s">
        <v>98</v>
      </c>
      <c r="O605" s="0" t="s">
        <v>2265</v>
      </c>
      <c r="P605" s="0" t="s">
        <v>3157</v>
      </c>
      <c r="Q605" s="0" t="n">
        <v>-1</v>
      </c>
      <c r="R605" s="0" t="n">
        <v>-1</v>
      </c>
      <c r="S605" s="0" t="n">
        <v>-1</v>
      </c>
      <c r="T605" s="0" t="n">
        <v>-1</v>
      </c>
      <c r="U605" s="0" t="n">
        <v>-1</v>
      </c>
      <c r="V605" s="0" t="s">
        <v>46</v>
      </c>
      <c r="W605" s="0" t="s">
        <v>46</v>
      </c>
      <c r="X605" s="0" t="s">
        <v>46</v>
      </c>
      <c r="Y605" s="0" t="s">
        <v>46</v>
      </c>
      <c r="Z605" s="0" t="s">
        <v>46</v>
      </c>
      <c r="AA605" s="0" t="s">
        <v>46</v>
      </c>
      <c r="AB605" s="0" t="s">
        <v>46</v>
      </c>
      <c r="AC605" s="0" t="s">
        <v>51</v>
      </c>
      <c r="AD605" s="0" t="s">
        <v>437</v>
      </c>
      <c r="AE605" s="0" t="s">
        <v>3158</v>
      </c>
      <c r="AF605" s="0" t="s">
        <v>3159</v>
      </c>
      <c r="AG605" s="0" t="s">
        <v>3160</v>
      </c>
      <c r="AH605" s="0" t="s">
        <v>3161</v>
      </c>
      <c r="AI605" s="0" t="s">
        <v>46</v>
      </c>
      <c r="AJ605" s="0" t="s">
        <v>46</v>
      </c>
      <c r="AK605" s="0" t="s">
        <v>46</v>
      </c>
      <c r="AL605" s="0" t="s">
        <v>46</v>
      </c>
    </row>
    <row r="606" customFormat="false" ht="15" hidden="false" customHeight="false" outlineLevel="0" collapsed="false">
      <c r="B606" s="0" t="str">
        <f aca="false">HYPERLINK("https://genome.ucsc.edu/cgi-bin/hgTracks?db=hg19&amp;position=chrX%3A106016281%2D106016281", "chrX:106016281")</f>
        <v>chrX:106016281</v>
      </c>
      <c r="C606" s="0" t="s">
        <v>1962</v>
      </c>
      <c r="D606" s="0" t="n">
        <v>106016281</v>
      </c>
      <c r="E606" s="0" t="n">
        <v>106016281</v>
      </c>
      <c r="F606" s="0" t="s">
        <v>40</v>
      </c>
      <c r="G606" s="0" t="s">
        <v>200</v>
      </c>
      <c r="H606" s="0" t="s">
        <v>2789</v>
      </c>
      <c r="I606" s="0" t="s">
        <v>434</v>
      </c>
      <c r="J606" s="0" t="s">
        <v>1336</v>
      </c>
      <c r="K606" s="0" t="s">
        <v>46</v>
      </c>
      <c r="L606" s="0" t="s">
        <v>46</v>
      </c>
      <c r="M606" s="0" t="str">
        <f aca="false">HYPERLINK("https://www.genecards.org/Search/Keyword?queryString=%5Baliases%5D(%20RNF128%20)&amp;keywords=RNF128", "RNF128")</f>
        <v>RNF128</v>
      </c>
      <c r="N606" s="0" t="s">
        <v>98</v>
      </c>
      <c r="O606" s="0" t="s">
        <v>2265</v>
      </c>
      <c r="P606" s="0" t="s">
        <v>3162</v>
      </c>
      <c r="Q606" s="0" t="n">
        <v>-1</v>
      </c>
      <c r="R606" s="0" t="n">
        <v>-1</v>
      </c>
      <c r="S606" s="0" t="n">
        <v>-1</v>
      </c>
      <c r="T606" s="0" t="n">
        <v>-1</v>
      </c>
      <c r="U606" s="0" t="n">
        <v>-1</v>
      </c>
      <c r="V606" s="0" t="s">
        <v>46</v>
      </c>
      <c r="W606" s="0" t="s">
        <v>46</v>
      </c>
      <c r="X606" s="0" t="s">
        <v>46</v>
      </c>
      <c r="Y606" s="0" t="s">
        <v>46</v>
      </c>
      <c r="Z606" s="0" t="s">
        <v>46</v>
      </c>
      <c r="AA606" s="0" t="s">
        <v>46</v>
      </c>
      <c r="AB606" s="0" t="s">
        <v>46</v>
      </c>
      <c r="AC606" s="0" t="s">
        <v>51</v>
      </c>
      <c r="AD606" s="0" t="s">
        <v>52</v>
      </c>
      <c r="AE606" s="0" t="s">
        <v>3163</v>
      </c>
      <c r="AF606" s="0" t="s">
        <v>3164</v>
      </c>
      <c r="AG606" s="0" t="s">
        <v>3165</v>
      </c>
      <c r="AH606" s="0" t="s">
        <v>46</v>
      </c>
      <c r="AI606" s="0" t="s">
        <v>46</v>
      </c>
      <c r="AJ606" s="0" t="s">
        <v>46</v>
      </c>
      <c r="AK606" s="0" t="s">
        <v>46</v>
      </c>
      <c r="AL606" s="0" t="s">
        <v>46</v>
      </c>
    </row>
    <row r="607" customFormat="false" ht="15" hidden="false" customHeight="false" outlineLevel="0" collapsed="false">
      <c r="B607" s="0" t="str">
        <f aca="false">HYPERLINK("https://genome.ucsc.edu/cgi-bin/hgTracks?db=hg19&amp;position=chrX%3A109560782%2D109560782", "chrX:109560782")</f>
        <v>chrX:109560782</v>
      </c>
      <c r="C607" s="0" t="s">
        <v>1962</v>
      </c>
      <c r="D607" s="0" t="n">
        <v>109560782</v>
      </c>
      <c r="E607" s="0" t="n">
        <v>109560782</v>
      </c>
      <c r="F607" s="0" t="s">
        <v>39</v>
      </c>
      <c r="G607" s="0" t="s">
        <v>69</v>
      </c>
      <c r="H607" s="0" t="s">
        <v>3166</v>
      </c>
      <c r="I607" s="0" t="s">
        <v>924</v>
      </c>
      <c r="J607" s="0" t="s">
        <v>3167</v>
      </c>
      <c r="K607" s="0" t="s">
        <v>46</v>
      </c>
      <c r="L607" s="0" t="str">
        <f aca="false">HYPERLINK("https://www.ncbi.nlm.nih.gov/snp/rs200563423", "rs200563423")</f>
        <v>rs200563423</v>
      </c>
      <c r="M607" s="0" t="str">
        <f aca="false">HYPERLINK("https://www.genecards.org/Search/Keyword?queryString=%5Baliases%5D(%20AMMECR1%20)&amp;keywords=AMMECR1", "AMMECR1")</f>
        <v>AMMECR1</v>
      </c>
      <c r="N607" s="0" t="s">
        <v>62</v>
      </c>
      <c r="O607" s="0" t="s">
        <v>46</v>
      </c>
      <c r="P607" s="0" t="s">
        <v>46</v>
      </c>
      <c r="Q607" s="0" t="n">
        <v>0.0103</v>
      </c>
      <c r="R607" s="0" t="n">
        <v>0.0074</v>
      </c>
      <c r="S607" s="0" t="n">
        <v>0.0074</v>
      </c>
      <c r="T607" s="0" t="n">
        <v>-1</v>
      </c>
      <c r="U607" s="0" t="n">
        <v>0.0066</v>
      </c>
      <c r="V607" s="0" t="s">
        <v>46</v>
      </c>
      <c r="W607" s="0" t="s">
        <v>46</v>
      </c>
      <c r="X607" s="0" t="s">
        <v>999</v>
      </c>
      <c r="Y607" s="0" t="s">
        <v>64</v>
      </c>
      <c r="Z607" s="0" t="s">
        <v>46</v>
      </c>
      <c r="AA607" s="0" t="s">
        <v>46</v>
      </c>
      <c r="AB607" s="0" t="s">
        <v>46</v>
      </c>
      <c r="AC607" s="0" t="s">
        <v>1190</v>
      </c>
      <c r="AD607" s="0" t="s">
        <v>52</v>
      </c>
      <c r="AE607" s="0" t="s">
        <v>3168</v>
      </c>
      <c r="AF607" s="0" t="s">
        <v>3169</v>
      </c>
      <c r="AG607" s="0" t="s">
        <v>46</v>
      </c>
      <c r="AH607" s="0" t="s">
        <v>3170</v>
      </c>
      <c r="AI607" s="0" t="s">
        <v>46</v>
      </c>
      <c r="AJ607" s="0" t="s">
        <v>46</v>
      </c>
      <c r="AK607" s="0" t="s">
        <v>46</v>
      </c>
      <c r="AL607" s="0" t="s">
        <v>46</v>
      </c>
    </row>
    <row r="608" customFormat="false" ht="15" hidden="false" customHeight="false" outlineLevel="0" collapsed="false">
      <c r="B608" s="0" t="str">
        <f aca="false">HYPERLINK("https://genome.ucsc.edu/cgi-bin/hgTracks?db=hg19&amp;position=chrX%3A119293216%2D119293216", "chrX:119293216")</f>
        <v>chrX:119293216</v>
      </c>
      <c r="C608" s="0" t="s">
        <v>1962</v>
      </c>
      <c r="D608" s="0" t="n">
        <v>119293216</v>
      </c>
      <c r="E608" s="0" t="n">
        <v>119293216</v>
      </c>
      <c r="F608" s="0" t="s">
        <v>200</v>
      </c>
      <c r="G608" s="0" t="s">
        <v>69</v>
      </c>
      <c r="H608" s="0" t="s">
        <v>3171</v>
      </c>
      <c r="I608" s="0" t="s">
        <v>464</v>
      </c>
      <c r="J608" s="0" t="s">
        <v>3172</v>
      </c>
      <c r="K608" s="0" t="s">
        <v>46</v>
      </c>
      <c r="L608" s="0" t="str">
        <f aca="false">HYPERLINK("https://www.ncbi.nlm.nih.gov/snp/rs782542106", "rs782542106")</f>
        <v>rs782542106</v>
      </c>
      <c r="M608" s="0" t="str">
        <f aca="false">HYPERLINK("https://www.genecards.org/Search/Keyword?queryString=%5Baliases%5D(%20RHOXF2%20)%20OR%20%5Baliases%5D(%20RHOXF2B%20)&amp;keywords=RHOXF2,RHOXF2B", "RHOXF2;RHOXF2B")</f>
        <v>RHOXF2;RHOXF2B</v>
      </c>
      <c r="N608" s="0" t="s">
        <v>98</v>
      </c>
      <c r="O608" s="0" t="s">
        <v>2206</v>
      </c>
      <c r="P608" s="0" t="s">
        <v>3173</v>
      </c>
      <c r="Q608" s="0" t="n">
        <v>0.0094</v>
      </c>
      <c r="R608" s="0" t="n">
        <v>0.0061</v>
      </c>
      <c r="S608" s="0" t="n">
        <v>0.0051</v>
      </c>
      <c r="T608" s="0" t="n">
        <v>-1</v>
      </c>
      <c r="U608" s="0" t="n">
        <v>0.004</v>
      </c>
      <c r="V608" s="0" t="s">
        <v>46</v>
      </c>
      <c r="W608" s="0" t="s">
        <v>46</v>
      </c>
      <c r="X608" s="0" t="s">
        <v>46</v>
      </c>
      <c r="Y608" s="0" t="s">
        <v>46</v>
      </c>
      <c r="Z608" s="0" t="s">
        <v>46</v>
      </c>
      <c r="AA608" s="0" t="s">
        <v>46</v>
      </c>
      <c r="AB608" s="0" t="s">
        <v>46</v>
      </c>
      <c r="AC608" s="0" t="s">
        <v>51</v>
      </c>
      <c r="AD608" s="0" t="s">
        <v>437</v>
      </c>
      <c r="AE608" s="0" t="s">
        <v>3174</v>
      </c>
      <c r="AF608" s="0" t="s">
        <v>3175</v>
      </c>
      <c r="AG608" s="0" t="s">
        <v>46</v>
      </c>
      <c r="AH608" s="0" t="s">
        <v>46</v>
      </c>
      <c r="AI608" s="0" t="s">
        <v>46</v>
      </c>
      <c r="AJ608" s="0" t="s">
        <v>46</v>
      </c>
      <c r="AK608" s="0" t="s">
        <v>46</v>
      </c>
      <c r="AL608" s="0" t="s">
        <v>584</v>
      </c>
    </row>
    <row r="609" customFormat="false" ht="15" hidden="false" customHeight="false" outlineLevel="0" collapsed="false">
      <c r="B609" s="0" t="str">
        <f aca="false">HYPERLINK("https://genome.ucsc.edu/cgi-bin/hgTracks?db=hg19&amp;position=chrX%3A153698559%2D153698559", "chrX:153698559")</f>
        <v>chrX:153698559</v>
      </c>
      <c r="C609" s="0" t="s">
        <v>1962</v>
      </c>
      <c r="D609" s="0" t="n">
        <v>153698559</v>
      </c>
      <c r="E609" s="0" t="n">
        <v>153698559</v>
      </c>
      <c r="F609" s="0" t="s">
        <v>69</v>
      </c>
      <c r="G609" s="0" t="s">
        <v>57</v>
      </c>
      <c r="H609" s="0" t="s">
        <v>3176</v>
      </c>
      <c r="I609" s="0" t="s">
        <v>924</v>
      </c>
      <c r="J609" s="0" t="s">
        <v>3167</v>
      </c>
      <c r="K609" s="0" t="s">
        <v>46</v>
      </c>
      <c r="L609" s="0" t="str">
        <f aca="false">HYPERLINK("https://www.ncbi.nlm.nih.gov/snp/rs367711234", "rs367711234")</f>
        <v>rs367711234</v>
      </c>
      <c r="M609" s="0" t="str">
        <f aca="false">HYPERLINK("https://www.genecards.org/Search/Keyword?queryString=%5Baliases%5D(%20PLXNA3%20)&amp;keywords=PLXNA3", "PLXNA3")</f>
        <v>PLXNA3</v>
      </c>
      <c r="N609" s="0" t="s">
        <v>62</v>
      </c>
      <c r="O609" s="0" t="s">
        <v>46</v>
      </c>
      <c r="P609" s="0" t="s">
        <v>46</v>
      </c>
      <c r="Q609" s="0" t="n">
        <v>0.0112</v>
      </c>
      <c r="R609" s="0" t="n">
        <v>0.0071</v>
      </c>
      <c r="S609" s="0" t="n">
        <v>0.0061</v>
      </c>
      <c r="T609" s="0" t="n">
        <v>-1</v>
      </c>
      <c r="U609" s="0" t="n">
        <v>0.0101</v>
      </c>
      <c r="V609" s="0" t="s">
        <v>46</v>
      </c>
      <c r="W609" s="0" t="s">
        <v>46</v>
      </c>
      <c r="X609" s="0" t="s">
        <v>999</v>
      </c>
      <c r="Y609" s="0" t="s">
        <v>64</v>
      </c>
      <c r="Z609" s="0" t="s">
        <v>46</v>
      </c>
      <c r="AA609" s="0" t="s">
        <v>46</v>
      </c>
      <c r="AB609" s="0" t="s">
        <v>46</v>
      </c>
      <c r="AC609" s="0" t="s">
        <v>1190</v>
      </c>
      <c r="AD609" s="0" t="s">
        <v>52</v>
      </c>
      <c r="AE609" s="0" t="s">
        <v>3177</v>
      </c>
      <c r="AF609" s="0" t="s">
        <v>3178</v>
      </c>
      <c r="AG609" s="0" t="s">
        <v>3179</v>
      </c>
      <c r="AH609" s="0" t="s">
        <v>46</v>
      </c>
      <c r="AI609" s="0" t="s">
        <v>46</v>
      </c>
      <c r="AJ609" s="0" t="s">
        <v>46</v>
      </c>
      <c r="AK609" s="0" t="s">
        <v>46</v>
      </c>
      <c r="AL609"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48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1" t="s">
        <v>3180</v>
      </c>
      <c r="B1" s="1" t="s">
        <v>30</v>
      </c>
      <c r="C1" s="1" t="s">
        <v>31</v>
      </c>
      <c r="D1" s="1" t="s">
        <v>32</v>
      </c>
      <c r="E1" s="1" t="s">
        <v>33</v>
      </c>
      <c r="F1" s="1" t="s">
        <v>3181</v>
      </c>
      <c r="G1" s="1" t="s">
        <v>3182</v>
      </c>
      <c r="H1" s="1" t="s">
        <v>3183</v>
      </c>
      <c r="I1" s="1" t="s">
        <v>3184</v>
      </c>
      <c r="J1" s="1" t="s">
        <v>3185</v>
      </c>
      <c r="K1" s="1" t="s">
        <v>3186</v>
      </c>
      <c r="L1" s="1" t="s">
        <v>3187</v>
      </c>
      <c r="M1" s="1" t="s">
        <v>3188</v>
      </c>
      <c r="N1" s="1" t="s">
        <v>3189</v>
      </c>
    </row>
    <row r="2" customFormat="false" ht="15" hidden="false" customHeight="false" outlineLevel="0" collapsed="false">
      <c r="A2" s="0" t="s">
        <v>3190</v>
      </c>
      <c r="B2" s="0" t="s">
        <v>1313</v>
      </c>
      <c r="C2" s="0" t="s">
        <v>1314</v>
      </c>
      <c r="D2" s="0" t="s">
        <v>1315</v>
      </c>
      <c r="E2" s="0" t="s">
        <v>46</v>
      </c>
      <c r="F2" s="0" t="s">
        <v>3191</v>
      </c>
      <c r="G2" s="0" t="s">
        <v>3192</v>
      </c>
      <c r="H2" s="0" t="s">
        <v>3193</v>
      </c>
      <c r="I2" s="0" t="s">
        <v>46</v>
      </c>
      <c r="J2" s="0" t="s">
        <v>46</v>
      </c>
      <c r="K2" s="0" t="s">
        <v>46</v>
      </c>
      <c r="L2" s="0" t="s">
        <v>46</v>
      </c>
      <c r="M2" s="0" t="s">
        <v>46</v>
      </c>
      <c r="N2" s="0" t="s">
        <v>46</v>
      </c>
    </row>
    <row r="3" customFormat="false" ht="15" hidden="false" customHeight="false" outlineLevel="0" collapsed="false">
      <c r="A3" s="0" t="s">
        <v>3194</v>
      </c>
      <c r="B3" s="0" t="s">
        <v>2128</v>
      </c>
      <c r="C3" s="0" t="s">
        <v>2129</v>
      </c>
      <c r="D3" s="0" t="s">
        <v>46</v>
      </c>
      <c r="E3" s="0" t="s">
        <v>46</v>
      </c>
      <c r="F3" s="0" t="s">
        <v>3195</v>
      </c>
      <c r="G3" s="0" t="s">
        <v>46</v>
      </c>
      <c r="H3" s="0" t="s">
        <v>46</v>
      </c>
      <c r="I3" s="0" t="s">
        <v>46</v>
      </c>
      <c r="J3" s="0" t="s">
        <v>46</v>
      </c>
      <c r="K3" s="0" t="s">
        <v>46</v>
      </c>
      <c r="L3" s="0" t="s">
        <v>46</v>
      </c>
      <c r="M3" s="0" t="s">
        <v>46</v>
      </c>
      <c r="N3" s="0" t="s">
        <v>46</v>
      </c>
    </row>
    <row r="4" customFormat="false" ht="15" hidden="false" customHeight="false" outlineLevel="0" collapsed="false">
      <c r="A4" s="0" t="s">
        <v>3196</v>
      </c>
      <c r="B4" s="0" t="s">
        <v>2634</v>
      </c>
      <c r="C4" s="0" t="s">
        <v>2635</v>
      </c>
      <c r="D4" s="0" t="s">
        <v>2636</v>
      </c>
      <c r="E4" s="0" t="s">
        <v>46</v>
      </c>
      <c r="F4" s="0" t="s">
        <v>3197</v>
      </c>
      <c r="G4" s="0" t="s">
        <v>3198</v>
      </c>
      <c r="H4" s="0" t="s">
        <v>3199</v>
      </c>
      <c r="I4" s="0" t="s">
        <v>46</v>
      </c>
      <c r="J4" s="0" t="s">
        <v>46</v>
      </c>
      <c r="K4" s="0" t="s">
        <v>46</v>
      </c>
      <c r="L4" s="0" t="s">
        <v>46</v>
      </c>
      <c r="M4" s="0" t="s">
        <v>46</v>
      </c>
      <c r="N4" s="0" t="s">
        <v>46</v>
      </c>
    </row>
    <row r="5" customFormat="false" ht="15" hidden="false" customHeight="false" outlineLevel="0" collapsed="false">
      <c r="A5" s="0" t="s">
        <v>3200</v>
      </c>
      <c r="B5" s="0" t="s">
        <v>1035</v>
      </c>
      <c r="C5" s="0" t="s">
        <v>1036</v>
      </c>
      <c r="D5" s="0" t="s">
        <v>1037</v>
      </c>
      <c r="E5" s="0" t="s">
        <v>46</v>
      </c>
      <c r="F5" s="0" t="s">
        <v>3201</v>
      </c>
      <c r="G5" s="0" t="s">
        <v>3202</v>
      </c>
      <c r="H5" s="0" t="s">
        <v>3203</v>
      </c>
      <c r="I5" s="0" t="s">
        <v>46</v>
      </c>
      <c r="J5" s="0" t="s">
        <v>46</v>
      </c>
      <c r="K5" s="0" t="s">
        <v>46</v>
      </c>
      <c r="L5" s="0" t="s">
        <v>46</v>
      </c>
      <c r="M5" s="0" t="s">
        <v>46</v>
      </c>
      <c r="N5" s="0" t="s">
        <v>46</v>
      </c>
    </row>
    <row r="6" customFormat="false" ht="15" hidden="false" customHeight="false" outlineLevel="0" collapsed="false">
      <c r="A6" s="0" t="s">
        <v>3204</v>
      </c>
      <c r="B6" s="0" t="s">
        <v>2215</v>
      </c>
      <c r="C6" s="0" t="s">
        <v>2216</v>
      </c>
      <c r="D6" s="0" t="s">
        <v>2217</v>
      </c>
      <c r="E6" s="0" t="s">
        <v>2218</v>
      </c>
      <c r="F6" s="0" t="s">
        <v>46</v>
      </c>
      <c r="G6" s="0" t="s">
        <v>3205</v>
      </c>
      <c r="H6" s="0" t="s">
        <v>3206</v>
      </c>
      <c r="I6" s="0" t="str">
        <f aca="false">HYPERLINK("https://omim.org/entry/300100", "300100")</f>
        <v>300100</v>
      </c>
      <c r="J6" s="0" t="s">
        <v>46</v>
      </c>
      <c r="K6" s="0" t="s">
        <v>46</v>
      </c>
      <c r="L6" s="0" t="s">
        <v>46</v>
      </c>
      <c r="M6" s="0" t="s">
        <v>46</v>
      </c>
      <c r="N6" s="0" t="s">
        <v>46</v>
      </c>
    </row>
    <row r="7" customFormat="false" ht="15" hidden="false" customHeight="false" outlineLevel="0" collapsed="false">
      <c r="A7" s="0" t="s">
        <v>3207</v>
      </c>
      <c r="B7" s="0" t="s">
        <v>1528</v>
      </c>
      <c r="C7" s="0" t="s">
        <v>1529</v>
      </c>
      <c r="D7" s="0" t="s">
        <v>1530</v>
      </c>
      <c r="E7" s="0" t="s">
        <v>1531</v>
      </c>
      <c r="F7" s="0" t="s">
        <v>46</v>
      </c>
      <c r="G7" s="0" t="s">
        <v>3208</v>
      </c>
      <c r="H7" s="0" t="s">
        <v>3209</v>
      </c>
      <c r="I7" s="0" t="str">
        <f aca="false">HYPERLINK("https://omim.org/entry/612674", "612674")</f>
        <v>612674</v>
      </c>
      <c r="J7" s="0" t="s">
        <v>46</v>
      </c>
      <c r="K7" s="0" t="s">
        <v>46</v>
      </c>
      <c r="L7" s="0" t="s">
        <v>46</v>
      </c>
      <c r="M7" s="0" t="s">
        <v>46</v>
      </c>
      <c r="N7" s="0" t="s">
        <v>46</v>
      </c>
    </row>
    <row r="8" customFormat="false" ht="15" hidden="false" customHeight="false" outlineLevel="0" collapsed="false">
      <c r="A8" s="0" t="s">
        <v>3210</v>
      </c>
      <c r="B8" s="0" t="s">
        <v>2623</v>
      </c>
      <c r="C8" s="0" t="s">
        <v>2624</v>
      </c>
      <c r="D8" s="0" t="s">
        <v>2625</v>
      </c>
      <c r="E8" s="0" t="s">
        <v>46</v>
      </c>
      <c r="F8" s="0" t="s">
        <v>3211</v>
      </c>
      <c r="G8" s="0" t="s">
        <v>3212</v>
      </c>
      <c r="H8" s="0" t="s">
        <v>46</v>
      </c>
      <c r="I8" s="0" t="s">
        <v>46</v>
      </c>
      <c r="J8" s="0" t="s">
        <v>46</v>
      </c>
      <c r="K8" s="0" t="s">
        <v>46</v>
      </c>
      <c r="L8" s="0" t="s">
        <v>46</v>
      </c>
      <c r="M8" s="0" t="s">
        <v>46</v>
      </c>
      <c r="N8" s="0" t="s">
        <v>46</v>
      </c>
    </row>
    <row r="9" customFormat="false" ht="15" hidden="false" customHeight="false" outlineLevel="0" collapsed="false">
      <c r="A9" s="0" t="s">
        <v>3213</v>
      </c>
      <c r="B9" s="0" t="s">
        <v>455</v>
      </c>
      <c r="C9" s="0" t="s">
        <v>456</v>
      </c>
      <c r="D9" s="0" t="s">
        <v>457</v>
      </c>
      <c r="E9" s="0" t="s">
        <v>46</v>
      </c>
      <c r="F9" s="0" t="s">
        <v>46</v>
      </c>
      <c r="G9" s="0" t="s">
        <v>3214</v>
      </c>
      <c r="H9" s="0" t="s">
        <v>46</v>
      </c>
      <c r="I9" s="0" t="s">
        <v>46</v>
      </c>
      <c r="J9" s="0" t="s">
        <v>46</v>
      </c>
      <c r="K9" s="0" t="s">
        <v>46</v>
      </c>
      <c r="L9" s="0" t="s">
        <v>46</v>
      </c>
      <c r="M9" s="0" t="s">
        <v>46</v>
      </c>
      <c r="N9" s="0" t="s">
        <v>46</v>
      </c>
    </row>
    <row r="10" customFormat="false" ht="15" hidden="false" customHeight="false" outlineLevel="0" collapsed="false">
      <c r="A10" s="0" t="s">
        <v>3215</v>
      </c>
      <c r="B10" s="0" t="s">
        <v>2299</v>
      </c>
      <c r="C10" s="0" t="s">
        <v>2300</v>
      </c>
      <c r="D10" s="0" t="s">
        <v>2301</v>
      </c>
      <c r="E10" s="0" t="s">
        <v>46</v>
      </c>
      <c r="F10" s="0" t="s">
        <v>3216</v>
      </c>
      <c r="G10" s="0" t="s">
        <v>46</v>
      </c>
      <c r="H10" s="0" t="s">
        <v>46</v>
      </c>
      <c r="I10" s="0" t="s">
        <v>46</v>
      </c>
      <c r="J10" s="0" t="s">
        <v>46</v>
      </c>
      <c r="K10" s="0" t="s">
        <v>46</v>
      </c>
      <c r="L10" s="0" t="s">
        <v>46</v>
      </c>
      <c r="M10" s="0" t="s">
        <v>46</v>
      </c>
      <c r="N10" s="0" t="s">
        <v>46</v>
      </c>
    </row>
    <row r="11" customFormat="false" ht="15" hidden="false" customHeight="false" outlineLevel="0" collapsed="false">
      <c r="A11" s="0" t="s">
        <v>3217</v>
      </c>
      <c r="B11" s="0" t="s">
        <v>2506</v>
      </c>
      <c r="C11" s="0" t="s">
        <v>2507</v>
      </c>
      <c r="D11" s="0" t="s">
        <v>46</v>
      </c>
      <c r="E11" s="0" t="s">
        <v>2508</v>
      </c>
      <c r="F11" s="0" t="s">
        <v>3218</v>
      </c>
      <c r="G11" s="0" t="s">
        <v>3219</v>
      </c>
      <c r="H11" s="0" t="s">
        <v>3220</v>
      </c>
      <c r="I11" s="0" t="str">
        <f aca="false">HYPERLINK("https://omim.org/entry/613195", "613195")</f>
        <v>613195</v>
      </c>
      <c r="J11" s="0" t="s">
        <v>46</v>
      </c>
      <c r="K11" s="0" t="s">
        <v>46</v>
      </c>
      <c r="L11" s="0" t="s">
        <v>46</v>
      </c>
      <c r="M11" s="0" t="s">
        <v>46</v>
      </c>
      <c r="N11" s="0" t="s">
        <v>46</v>
      </c>
    </row>
    <row r="12" customFormat="false" ht="15" hidden="false" customHeight="false" outlineLevel="0" collapsed="false">
      <c r="A12" s="0" t="s">
        <v>3221</v>
      </c>
      <c r="B12" s="0" t="s">
        <v>1155</v>
      </c>
      <c r="C12" s="0" t="s">
        <v>1156</v>
      </c>
      <c r="D12" s="0" t="s">
        <v>1157</v>
      </c>
      <c r="E12" s="0" t="s">
        <v>46</v>
      </c>
      <c r="F12" s="0" t="s">
        <v>3222</v>
      </c>
      <c r="G12" s="0" t="s">
        <v>46</v>
      </c>
      <c r="H12" s="0" t="s">
        <v>46</v>
      </c>
      <c r="I12" s="0" t="s">
        <v>46</v>
      </c>
      <c r="J12" s="0" t="s">
        <v>46</v>
      </c>
      <c r="K12" s="0" t="s">
        <v>46</v>
      </c>
      <c r="L12" s="0" t="s">
        <v>46</v>
      </c>
      <c r="M12" s="0" t="s">
        <v>46</v>
      </c>
      <c r="N12" s="0" t="s">
        <v>46</v>
      </c>
    </row>
    <row r="13" customFormat="false" ht="15" hidden="false" customHeight="false" outlineLevel="0" collapsed="false">
      <c r="A13" s="0" t="s">
        <v>3223</v>
      </c>
      <c r="B13" s="0" t="s">
        <v>358</v>
      </c>
      <c r="C13" s="0" t="s">
        <v>359</v>
      </c>
      <c r="D13" s="0" t="s">
        <v>46</v>
      </c>
      <c r="E13" s="0" t="s">
        <v>46</v>
      </c>
      <c r="F13" s="0" t="s">
        <v>3224</v>
      </c>
      <c r="G13" s="0" t="s">
        <v>3225</v>
      </c>
      <c r="H13" s="0" t="s">
        <v>3226</v>
      </c>
      <c r="I13" s="0" t="s">
        <v>46</v>
      </c>
      <c r="J13" s="0" t="s">
        <v>46</v>
      </c>
      <c r="K13" s="0" t="s">
        <v>46</v>
      </c>
      <c r="L13" s="0" t="s">
        <v>46</v>
      </c>
      <c r="M13" s="0" t="s">
        <v>46</v>
      </c>
      <c r="N13" s="0" t="s">
        <v>46</v>
      </c>
    </row>
    <row r="14" customFormat="false" ht="15" hidden="false" customHeight="false" outlineLevel="0" collapsed="false">
      <c r="A14" s="0" t="s">
        <v>3227</v>
      </c>
      <c r="B14" s="0" t="s">
        <v>46</v>
      </c>
      <c r="C14" s="0" t="s">
        <v>1434</v>
      </c>
      <c r="D14" s="0" t="s">
        <v>1435</v>
      </c>
      <c r="E14" s="0" t="s">
        <v>46</v>
      </c>
      <c r="F14" s="0" t="s">
        <v>46</v>
      </c>
      <c r="G14" s="0" t="s">
        <v>46</v>
      </c>
      <c r="H14" s="0" t="s">
        <v>46</v>
      </c>
      <c r="I14" s="0" t="s">
        <v>46</v>
      </c>
      <c r="J14" s="0" t="s">
        <v>46</v>
      </c>
      <c r="K14" s="0" t="s">
        <v>46</v>
      </c>
      <c r="L14" s="0" t="s">
        <v>46</v>
      </c>
      <c r="M14" s="0" t="s">
        <v>46</v>
      </c>
      <c r="N14" s="0" t="s">
        <v>46</v>
      </c>
    </row>
    <row r="15" customFormat="false" ht="15" hidden="false" customHeight="false" outlineLevel="0" collapsed="false">
      <c r="A15" s="0" t="s">
        <v>3228</v>
      </c>
      <c r="B15" s="0" t="s">
        <v>1631</v>
      </c>
      <c r="C15" s="0" t="s">
        <v>1632</v>
      </c>
      <c r="D15" s="0" t="s">
        <v>1633</v>
      </c>
      <c r="E15" s="0" t="s">
        <v>46</v>
      </c>
      <c r="F15" s="0" t="s">
        <v>46</v>
      </c>
      <c r="G15" s="0" t="s">
        <v>3229</v>
      </c>
      <c r="H15" s="0" t="s">
        <v>3230</v>
      </c>
      <c r="I15" s="0" t="s">
        <v>46</v>
      </c>
      <c r="J15" s="0" t="s">
        <v>46</v>
      </c>
      <c r="K15" s="0" t="s">
        <v>46</v>
      </c>
      <c r="L15" s="0" t="s">
        <v>46</v>
      </c>
      <c r="M15" s="0" t="s">
        <v>46</v>
      </c>
      <c r="N15" s="0" t="s">
        <v>46</v>
      </c>
    </row>
    <row r="16" customFormat="false" ht="15" hidden="false" customHeight="false" outlineLevel="0" collapsed="false">
      <c r="A16" s="0" t="s">
        <v>3231</v>
      </c>
      <c r="B16" s="0" t="s">
        <v>3038</v>
      </c>
      <c r="C16" s="0" t="s">
        <v>3039</v>
      </c>
      <c r="D16" s="0" t="s">
        <v>3040</v>
      </c>
      <c r="E16" s="0" t="s">
        <v>46</v>
      </c>
      <c r="F16" s="0" t="s">
        <v>3232</v>
      </c>
      <c r="G16" s="0" t="s">
        <v>3233</v>
      </c>
      <c r="H16" s="0" t="s">
        <v>3234</v>
      </c>
      <c r="I16" s="0" t="s">
        <v>46</v>
      </c>
      <c r="J16" s="0" t="s">
        <v>46</v>
      </c>
      <c r="K16" s="0" t="s">
        <v>46</v>
      </c>
      <c r="L16" s="0" t="s">
        <v>46</v>
      </c>
      <c r="M16" s="0" t="s">
        <v>46</v>
      </c>
      <c r="N16" s="0" t="s">
        <v>46</v>
      </c>
    </row>
    <row r="17" customFormat="false" ht="15" hidden="false" customHeight="false" outlineLevel="0" collapsed="false">
      <c r="A17" s="0" t="s">
        <v>3235</v>
      </c>
      <c r="B17" s="0" t="s">
        <v>2179</v>
      </c>
      <c r="C17" s="0" t="s">
        <v>2180</v>
      </c>
      <c r="D17" s="0" t="s">
        <v>2181</v>
      </c>
      <c r="E17" s="0" t="s">
        <v>2182</v>
      </c>
      <c r="F17" s="0" t="s">
        <v>3236</v>
      </c>
      <c r="G17" s="0" t="s">
        <v>46</v>
      </c>
      <c r="H17" s="0" t="s">
        <v>46</v>
      </c>
      <c r="I17" s="0" t="str">
        <f aca="false">HYPERLINK("https://omim.org/entry/145500", "145500")</f>
        <v>145500</v>
      </c>
      <c r="J17" s="0" t="str">
        <f aca="false">HYPERLINK("https://omim.org/entry/267430", "267430")</f>
        <v>267430</v>
      </c>
      <c r="K17" s="0" t="s">
        <v>46</v>
      </c>
      <c r="L17" s="0" t="s">
        <v>46</v>
      </c>
      <c r="M17" s="0" t="s">
        <v>46</v>
      </c>
      <c r="N17" s="0" t="s">
        <v>46</v>
      </c>
    </row>
    <row r="18" customFormat="false" ht="15" hidden="false" customHeight="false" outlineLevel="0" collapsed="false">
      <c r="A18" s="0" t="s">
        <v>3237</v>
      </c>
      <c r="B18" s="0" t="s">
        <v>2087</v>
      </c>
      <c r="C18" s="0" t="s">
        <v>2088</v>
      </c>
      <c r="D18" s="0" t="s">
        <v>2089</v>
      </c>
      <c r="E18" s="0" t="s">
        <v>46</v>
      </c>
      <c r="F18" s="0" t="s">
        <v>3238</v>
      </c>
      <c r="G18" s="0" t="s">
        <v>3239</v>
      </c>
      <c r="H18" s="0" t="s">
        <v>3240</v>
      </c>
      <c r="I18" s="0" t="s">
        <v>46</v>
      </c>
      <c r="J18" s="0" t="s">
        <v>46</v>
      </c>
      <c r="K18" s="0" t="s">
        <v>46</v>
      </c>
      <c r="L18" s="0" t="s">
        <v>46</v>
      </c>
      <c r="M18" s="0" t="s">
        <v>46</v>
      </c>
      <c r="N18" s="0" t="s">
        <v>46</v>
      </c>
    </row>
    <row r="19" customFormat="false" ht="15" hidden="false" customHeight="false" outlineLevel="0" collapsed="false">
      <c r="A19" s="0" t="s">
        <v>3241</v>
      </c>
      <c r="B19" s="0" t="s">
        <v>258</v>
      </c>
      <c r="C19" s="0" t="s">
        <v>259</v>
      </c>
      <c r="D19" s="0" t="s">
        <v>260</v>
      </c>
      <c r="E19" s="0" t="s">
        <v>261</v>
      </c>
      <c r="F19" s="0" t="s">
        <v>3242</v>
      </c>
      <c r="G19" s="0" t="s">
        <v>3243</v>
      </c>
      <c r="H19" s="0" t="s">
        <v>3244</v>
      </c>
      <c r="I19" s="0" t="str">
        <f aca="false">HYPERLINK("https://omim.org/entry/611820", "611820")</f>
        <v>611820</v>
      </c>
      <c r="J19" s="0" t="s">
        <v>46</v>
      </c>
      <c r="K19" s="0" t="s">
        <v>46</v>
      </c>
      <c r="L19" s="0" t="s">
        <v>46</v>
      </c>
      <c r="M19" s="0" t="s">
        <v>46</v>
      </c>
      <c r="N19" s="0" t="s">
        <v>46</v>
      </c>
    </row>
    <row r="20" customFormat="false" ht="15" hidden="false" customHeight="false" outlineLevel="0" collapsed="false">
      <c r="A20" s="0" t="s">
        <v>3245</v>
      </c>
      <c r="B20" s="0" t="s">
        <v>2587</v>
      </c>
      <c r="C20" s="0" t="s">
        <v>2588</v>
      </c>
      <c r="D20" s="0" t="s">
        <v>2589</v>
      </c>
      <c r="E20" s="0" t="s">
        <v>46</v>
      </c>
      <c r="F20" s="0" t="s">
        <v>3246</v>
      </c>
      <c r="G20" s="0" t="s">
        <v>3247</v>
      </c>
      <c r="H20" s="0" t="s">
        <v>3248</v>
      </c>
      <c r="I20" s="0" t="s">
        <v>46</v>
      </c>
      <c r="J20" s="0" t="s">
        <v>46</v>
      </c>
      <c r="K20" s="0" t="s">
        <v>46</v>
      </c>
      <c r="L20" s="0" t="s">
        <v>46</v>
      </c>
      <c r="M20" s="0" t="s">
        <v>46</v>
      </c>
      <c r="N20" s="0" t="s">
        <v>46</v>
      </c>
    </row>
    <row r="21" customFormat="false" ht="15" hidden="false" customHeight="false" outlineLevel="0" collapsed="false">
      <c r="A21" s="0" t="s">
        <v>3249</v>
      </c>
      <c r="B21" s="0" t="s">
        <v>1510</v>
      </c>
      <c r="C21" s="0" t="s">
        <v>1511</v>
      </c>
      <c r="D21" s="0" t="s">
        <v>46</v>
      </c>
      <c r="E21" s="0" t="s">
        <v>46</v>
      </c>
      <c r="F21" s="0" t="s">
        <v>46</v>
      </c>
      <c r="G21" s="0" t="s">
        <v>3250</v>
      </c>
      <c r="H21" s="0" t="s">
        <v>46</v>
      </c>
      <c r="I21" s="0" t="s">
        <v>46</v>
      </c>
      <c r="J21" s="0" t="s">
        <v>46</v>
      </c>
      <c r="K21" s="0" t="s">
        <v>46</v>
      </c>
      <c r="L21" s="0" t="s">
        <v>46</v>
      </c>
      <c r="M21" s="0" t="s">
        <v>46</v>
      </c>
      <c r="N21" s="0" t="s">
        <v>46</v>
      </c>
    </row>
    <row r="22" customFormat="false" ht="15" hidden="false" customHeight="false" outlineLevel="0" collapsed="false">
      <c r="A22" s="0" t="s">
        <v>3251</v>
      </c>
      <c r="B22" s="0" t="s">
        <v>2272</v>
      </c>
      <c r="C22" s="0" t="s">
        <v>2273</v>
      </c>
      <c r="D22" s="0" t="s">
        <v>2274</v>
      </c>
      <c r="E22" s="0" t="s">
        <v>2275</v>
      </c>
      <c r="F22" s="0" t="s">
        <v>46</v>
      </c>
      <c r="G22" s="0" t="s">
        <v>46</v>
      </c>
      <c r="H22" s="0" t="s">
        <v>46</v>
      </c>
      <c r="I22" s="0" t="str">
        <f aca="false">HYPERLINK("https://omim.org/entry/136760", "136760")</f>
        <v>136760</v>
      </c>
      <c r="J22" s="0" t="s">
        <v>46</v>
      </c>
      <c r="K22" s="0" t="s">
        <v>46</v>
      </c>
      <c r="L22" s="0" t="s">
        <v>46</v>
      </c>
      <c r="M22" s="0" t="s">
        <v>46</v>
      </c>
      <c r="N22" s="0" t="s">
        <v>46</v>
      </c>
    </row>
    <row r="23" customFormat="false" ht="15" hidden="false" customHeight="false" outlineLevel="0" collapsed="false">
      <c r="A23" s="0" t="s">
        <v>3252</v>
      </c>
      <c r="B23" s="0" t="s">
        <v>574</v>
      </c>
      <c r="C23" s="0" t="s">
        <v>575</v>
      </c>
      <c r="D23" s="0" t="s">
        <v>576</v>
      </c>
      <c r="E23" s="0" t="s">
        <v>46</v>
      </c>
      <c r="F23" s="0" t="s">
        <v>46</v>
      </c>
      <c r="G23" s="0" t="s">
        <v>46</v>
      </c>
      <c r="H23" s="0" t="s">
        <v>46</v>
      </c>
      <c r="I23" s="0" t="s">
        <v>46</v>
      </c>
      <c r="J23" s="0" t="s">
        <v>46</v>
      </c>
      <c r="K23" s="0" t="s">
        <v>46</v>
      </c>
      <c r="L23" s="0" t="s">
        <v>46</v>
      </c>
      <c r="M23" s="0" t="s">
        <v>46</v>
      </c>
      <c r="N23" s="0" t="s">
        <v>46</v>
      </c>
    </row>
    <row r="24" customFormat="false" ht="15" hidden="false" customHeight="false" outlineLevel="0" collapsed="false">
      <c r="A24" s="0" t="s">
        <v>3253</v>
      </c>
      <c r="B24" s="0" t="s">
        <v>3168</v>
      </c>
      <c r="C24" s="0" t="s">
        <v>3169</v>
      </c>
      <c r="D24" s="0" t="s">
        <v>46</v>
      </c>
      <c r="E24" s="0" t="s">
        <v>3170</v>
      </c>
      <c r="F24" s="0" t="s">
        <v>46</v>
      </c>
      <c r="G24" s="0" t="s">
        <v>3254</v>
      </c>
      <c r="H24" s="0" t="s">
        <v>3255</v>
      </c>
      <c r="I24" s="0" t="str">
        <f aca="false">HYPERLINK("https://omim.org/entry/300194", "300194")</f>
        <v>300194</v>
      </c>
      <c r="J24" s="0" t="s">
        <v>46</v>
      </c>
      <c r="K24" s="0" t="s">
        <v>46</v>
      </c>
      <c r="L24" s="0" t="s">
        <v>46</v>
      </c>
      <c r="M24" s="0" t="s">
        <v>46</v>
      </c>
      <c r="N24" s="0" t="s">
        <v>46</v>
      </c>
    </row>
    <row r="25" customFormat="false" ht="15" hidden="false" customHeight="false" outlineLevel="0" collapsed="false">
      <c r="A25" s="0" t="s">
        <v>3256</v>
      </c>
      <c r="B25" s="0" t="s">
        <v>1699</v>
      </c>
      <c r="C25" s="0" t="s">
        <v>1700</v>
      </c>
      <c r="D25" s="0" t="s">
        <v>1701</v>
      </c>
      <c r="E25" s="0" t="s">
        <v>46</v>
      </c>
      <c r="F25" s="0" t="s">
        <v>46</v>
      </c>
      <c r="G25" s="0" t="s">
        <v>3257</v>
      </c>
      <c r="H25" s="0" t="s">
        <v>46</v>
      </c>
      <c r="I25" s="0" t="s">
        <v>46</v>
      </c>
      <c r="J25" s="0" t="s">
        <v>46</v>
      </c>
      <c r="K25" s="0" t="s">
        <v>46</v>
      </c>
      <c r="L25" s="0" t="s">
        <v>46</v>
      </c>
      <c r="M25" s="0" t="s">
        <v>46</v>
      </c>
      <c r="N25" s="0" t="s">
        <v>46</v>
      </c>
    </row>
    <row r="26" customFormat="false" ht="15" hidden="false" customHeight="false" outlineLevel="0" collapsed="false">
      <c r="A26" s="0" t="s">
        <v>3258</v>
      </c>
      <c r="B26" s="0" t="s">
        <v>3259</v>
      </c>
      <c r="C26" s="0" t="s">
        <v>3260</v>
      </c>
      <c r="D26" s="0" t="s">
        <v>3261</v>
      </c>
      <c r="E26" s="0" t="s">
        <v>46</v>
      </c>
      <c r="F26" s="0" t="s">
        <v>46</v>
      </c>
      <c r="G26" s="0" t="s">
        <v>3262</v>
      </c>
      <c r="H26" s="0" t="s">
        <v>3263</v>
      </c>
      <c r="I26" s="0" t="s">
        <v>46</v>
      </c>
      <c r="J26" s="0" t="s">
        <v>46</v>
      </c>
      <c r="K26" s="0" t="s">
        <v>46</v>
      </c>
      <c r="L26" s="0" t="s">
        <v>46</v>
      </c>
      <c r="M26" s="0" t="s">
        <v>46</v>
      </c>
      <c r="N26" s="0" t="s">
        <v>46</v>
      </c>
    </row>
    <row r="27" customFormat="false" ht="15" hidden="false" customHeight="false" outlineLevel="0" collapsed="false">
      <c r="A27" s="0" t="s">
        <v>3264</v>
      </c>
      <c r="B27" s="0" t="s">
        <v>1737</v>
      </c>
      <c r="C27" s="0" t="s">
        <v>1738</v>
      </c>
      <c r="D27" s="0" t="s">
        <v>1739</v>
      </c>
      <c r="E27" s="0" t="s">
        <v>1740</v>
      </c>
      <c r="F27" s="0" t="s">
        <v>3265</v>
      </c>
      <c r="G27" s="0" t="s">
        <v>3266</v>
      </c>
      <c r="H27" s="0" t="s">
        <v>3267</v>
      </c>
      <c r="I27" s="0" t="str">
        <f aca="false">HYPERLINK("https://omim.org/entry/600919", "600919")</f>
        <v>600919</v>
      </c>
      <c r="J27" s="0" t="s">
        <v>46</v>
      </c>
      <c r="K27" s="0" t="s">
        <v>46</v>
      </c>
      <c r="L27" s="0" t="s">
        <v>46</v>
      </c>
      <c r="M27" s="0" t="s">
        <v>46</v>
      </c>
      <c r="N27" s="0" t="s">
        <v>46</v>
      </c>
    </row>
    <row r="28" customFormat="false" ht="15" hidden="false" customHeight="false" outlineLevel="0" collapsed="false">
      <c r="A28" s="0" t="s">
        <v>3268</v>
      </c>
      <c r="B28" s="0" t="s">
        <v>1023</v>
      </c>
      <c r="C28" s="0" t="s">
        <v>1024</v>
      </c>
      <c r="D28" s="0" t="s">
        <v>1025</v>
      </c>
      <c r="E28" s="0" t="s">
        <v>46</v>
      </c>
      <c r="F28" s="0" t="s">
        <v>46</v>
      </c>
      <c r="G28" s="0" t="s">
        <v>3269</v>
      </c>
      <c r="H28" s="0" t="s">
        <v>3270</v>
      </c>
      <c r="I28" s="0" t="s">
        <v>46</v>
      </c>
      <c r="J28" s="0" t="s">
        <v>46</v>
      </c>
      <c r="K28" s="0" t="s">
        <v>46</v>
      </c>
      <c r="L28" s="0" t="s">
        <v>46</v>
      </c>
      <c r="M28" s="0" t="s">
        <v>46</v>
      </c>
      <c r="N28" s="0" t="s">
        <v>46</v>
      </c>
    </row>
    <row r="29" customFormat="false" ht="15" hidden="false" customHeight="false" outlineLevel="0" collapsed="false">
      <c r="A29" s="0" t="s">
        <v>3271</v>
      </c>
      <c r="B29" s="0" t="s">
        <v>2695</v>
      </c>
      <c r="C29" s="0" t="s">
        <v>2696</v>
      </c>
      <c r="D29" s="0" t="s">
        <v>46</v>
      </c>
      <c r="E29" s="0" t="s">
        <v>46</v>
      </c>
      <c r="F29" s="0" t="s">
        <v>46</v>
      </c>
      <c r="G29" s="0" t="s">
        <v>3272</v>
      </c>
      <c r="H29" s="0" t="s">
        <v>3273</v>
      </c>
      <c r="I29" s="0" t="s">
        <v>46</v>
      </c>
      <c r="J29" s="0" t="s">
        <v>46</v>
      </c>
      <c r="K29" s="0" t="s">
        <v>46</v>
      </c>
      <c r="L29" s="0" t="s">
        <v>46</v>
      </c>
      <c r="M29" s="0" t="s">
        <v>46</v>
      </c>
      <c r="N29" s="0" t="s">
        <v>46</v>
      </c>
    </row>
    <row r="30" customFormat="false" ht="15" hidden="false" customHeight="false" outlineLevel="0" collapsed="false">
      <c r="A30" s="0" t="s">
        <v>3274</v>
      </c>
      <c r="B30" s="0" t="s">
        <v>46</v>
      </c>
      <c r="C30" s="0" t="s">
        <v>2969</v>
      </c>
      <c r="D30" s="0" t="s">
        <v>46</v>
      </c>
      <c r="E30" s="0" t="s">
        <v>46</v>
      </c>
      <c r="F30" s="0" t="s">
        <v>46</v>
      </c>
      <c r="G30" s="0" t="s">
        <v>46</v>
      </c>
      <c r="H30" s="0" t="s">
        <v>46</v>
      </c>
      <c r="I30" s="0" t="s">
        <v>46</v>
      </c>
      <c r="J30" s="0" t="s">
        <v>46</v>
      </c>
      <c r="K30" s="0" t="s">
        <v>46</v>
      </c>
      <c r="L30" s="0" t="s">
        <v>46</v>
      </c>
      <c r="M30" s="0" t="s">
        <v>46</v>
      </c>
      <c r="N30" s="0" t="s">
        <v>46</v>
      </c>
    </row>
    <row r="31" customFormat="false" ht="15" hidden="false" customHeight="false" outlineLevel="0" collapsed="false">
      <c r="A31" s="0" t="s">
        <v>3275</v>
      </c>
      <c r="B31" s="0" t="s">
        <v>46</v>
      </c>
      <c r="C31" s="0" t="s">
        <v>1469</v>
      </c>
      <c r="D31" s="0" t="s">
        <v>46</v>
      </c>
      <c r="E31" s="0" t="s">
        <v>46</v>
      </c>
      <c r="F31" s="0" t="s">
        <v>46</v>
      </c>
      <c r="G31" s="0" t="s">
        <v>3276</v>
      </c>
      <c r="H31" s="0" t="s">
        <v>46</v>
      </c>
      <c r="I31" s="0" t="s">
        <v>46</v>
      </c>
      <c r="J31" s="0" t="s">
        <v>46</v>
      </c>
      <c r="K31" s="0" t="s">
        <v>46</v>
      </c>
      <c r="L31" s="0" t="s">
        <v>46</v>
      </c>
      <c r="M31" s="0" t="s">
        <v>46</v>
      </c>
      <c r="N31" s="0" t="s">
        <v>46</v>
      </c>
    </row>
    <row r="32" customFormat="false" ht="15" hidden="false" customHeight="false" outlineLevel="0" collapsed="false">
      <c r="A32" s="0" t="s">
        <v>3277</v>
      </c>
      <c r="B32" s="0" t="s">
        <v>46</v>
      </c>
      <c r="C32" s="0" t="s">
        <v>2482</v>
      </c>
      <c r="D32" s="0" t="s">
        <v>46</v>
      </c>
      <c r="E32" s="0" t="s">
        <v>46</v>
      </c>
      <c r="F32" s="0" t="s">
        <v>46</v>
      </c>
      <c r="G32" s="0" t="s">
        <v>46</v>
      </c>
      <c r="H32" s="0" t="s">
        <v>46</v>
      </c>
      <c r="I32" s="0" t="s">
        <v>46</v>
      </c>
      <c r="J32" s="0" t="s">
        <v>46</v>
      </c>
      <c r="K32" s="0" t="s">
        <v>46</v>
      </c>
      <c r="L32" s="0" t="s">
        <v>46</v>
      </c>
      <c r="M32" s="0" t="s">
        <v>46</v>
      </c>
      <c r="N32" s="0" t="s">
        <v>46</v>
      </c>
    </row>
    <row r="33" customFormat="false" ht="15" hidden="false" customHeight="false" outlineLevel="0" collapsed="false">
      <c r="A33" s="0" t="s">
        <v>3278</v>
      </c>
      <c r="B33" s="0" t="s">
        <v>2717</v>
      </c>
      <c r="C33" s="0" t="s">
        <v>2718</v>
      </c>
      <c r="D33" s="0" t="s">
        <v>2719</v>
      </c>
      <c r="E33" s="0" t="s">
        <v>2720</v>
      </c>
      <c r="F33" s="0" t="s">
        <v>46</v>
      </c>
      <c r="G33" s="0" t="s">
        <v>3279</v>
      </c>
      <c r="H33" s="0" t="s">
        <v>3280</v>
      </c>
      <c r="I33" s="0" t="str">
        <f aca="false">HYPERLINK("https://omim.org/entry/600740", "600740")</f>
        <v>600740</v>
      </c>
      <c r="J33" s="0" t="s">
        <v>46</v>
      </c>
      <c r="K33" s="0" t="s">
        <v>46</v>
      </c>
      <c r="L33" s="0" t="s">
        <v>46</v>
      </c>
      <c r="M33" s="0" t="s">
        <v>46</v>
      </c>
      <c r="N33" s="0" t="s">
        <v>46</v>
      </c>
    </row>
    <row r="34" customFormat="false" ht="15" hidden="false" customHeight="false" outlineLevel="0" collapsed="false">
      <c r="A34" s="0" t="s">
        <v>3281</v>
      </c>
      <c r="B34" s="0" t="s">
        <v>2386</v>
      </c>
      <c r="C34" s="0" t="s">
        <v>2387</v>
      </c>
      <c r="D34" s="0" t="s">
        <v>2388</v>
      </c>
      <c r="E34" s="0" t="s">
        <v>2389</v>
      </c>
      <c r="F34" s="0" t="s">
        <v>3282</v>
      </c>
      <c r="G34" s="0" t="s">
        <v>3283</v>
      </c>
      <c r="H34" s="0" t="s">
        <v>3284</v>
      </c>
      <c r="I34" s="0" t="str">
        <f aca="false">HYPERLINK("https://omim.org/entry/125800", "125800")</f>
        <v>125800</v>
      </c>
      <c r="J34" s="0" t="s">
        <v>46</v>
      </c>
      <c r="K34" s="0" t="s">
        <v>46</v>
      </c>
      <c r="L34" s="0" t="s">
        <v>46</v>
      </c>
      <c r="M34" s="0" t="s">
        <v>46</v>
      </c>
      <c r="N34" s="0" t="s">
        <v>46</v>
      </c>
    </row>
    <row r="35" customFormat="false" ht="15" hidden="false" customHeight="false" outlineLevel="0" collapsed="false">
      <c r="A35" s="0" t="s">
        <v>3285</v>
      </c>
      <c r="B35" s="0" t="s">
        <v>2818</v>
      </c>
      <c r="C35" s="0" t="s">
        <v>2819</v>
      </c>
      <c r="D35" s="0" t="s">
        <v>2820</v>
      </c>
      <c r="E35" s="0" t="s">
        <v>2821</v>
      </c>
      <c r="F35" s="0" t="s">
        <v>3286</v>
      </c>
      <c r="G35" s="0" t="s">
        <v>46</v>
      </c>
      <c r="H35" s="0" t="s">
        <v>46</v>
      </c>
      <c r="I35" s="0" t="str">
        <f aca="false">HYPERLINK("https://omim.org/entry/608097", "608097")</f>
        <v>608097</v>
      </c>
      <c r="J35" s="0" t="s">
        <v>46</v>
      </c>
      <c r="K35" s="0" t="s">
        <v>46</v>
      </c>
      <c r="L35" s="0" t="s">
        <v>46</v>
      </c>
      <c r="M35" s="0" t="s">
        <v>46</v>
      </c>
      <c r="N35" s="0" t="s">
        <v>46</v>
      </c>
    </row>
    <row r="36" customFormat="false" ht="15" hidden="false" customHeight="false" outlineLevel="0" collapsed="false">
      <c r="A36" s="0" t="s">
        <v>3287</v>
      </c>
      <c r="B36" s="0" t="s">
        <v>1577</v>
      </c>
      <c r="C36" s="0" t="s">
        <v>1578</v>
      </c>
      <c r="D36" s="0" t="s">
        <v>1579</v>
      </c>
      <c r="E36" s="0" t="s">
        <v>46</v>
      </c>
      <c r="F36" s="0" t="s">
        <v>3288</v>
      </c>
      <c r="G36" s="0" t="s">
        <v>3289</v>
      </c>
      <c r="H36" s="0" t="s">
        <v>3290</v>
      </c>
      <c r="I36" s="0" t="s">
        <v>46</v>
      </c>
      <c r="J36" s="0" t="s">
        <v>46</v>
      </c>
      <c r="K36" s="0" t="s">
        <v>46</v>
      </c>
      <c r="L36" s="0" t="s">
        <v>46</v>
      </c>
      <c r="M36" s="0" t="s">
        <v>46</v>
      </c>
      <c r="N36" s="0" t="s">
        <v>46</v>
      </c>
    </row>
    <row r="37" customFormat="false" ht="15" hidden="false" customHeight="false" outlineLevel="0" collapsed="false">
      <c r="A37" s="0" t="s">
        <v>3291</v>
      </c>
      <c r="B37" s="0" t="s">
        <v>1197</v>
      </c>
      <c r="C37" s="0" t="s">
        <v>1198</v>
      </c>
      <c r="D37" s="0" t="s">
        <v>1199</v>
      </c>
      <c r="E37" s="0" t="s">
        <v>46</v>
      </c>
      <c r="F37" s="0" t="s">
        <v>3292</v>
      </c>
      <c r="G37" s="0" t="s">
        <v>3293</v>
      </c>
      <c r="H37" s="0" t="s">
        <v>3294</v>
      </c>
      <c r="I37" s="0" t="s">
        <v>46</v>
      </c>
      <c r="J37" s="0" t="s">
        <v>46</v>
      </c>
      <c r="K37" s="0" t="s">
        <v>46</v>
      </c>
      <c r="L37" s="0" t="s">
        <v>46</v>
      </c>
      <c r="M37" s="0" t="s">
        <v>46</v>
      </c>
      <c r="N37" s="0" t="s">
        <v>46</v>
      </c>
    </row>
    <row r="38" customFormat="false" ht="15" hidden="false" customHeight="false" outlineLevel="0" collapsed="false">
      <c r="A38" s="0" t="s">
        <v>3295</v>
      </c>
      <c r="B38" s="0" t="s">
        <v>2285</v>
      </c>
      <c r="C38" s="0" t="s">
        <v>2286</v>
      </c>
      <c r="D38" s="0" t="s">
        <v>2287</v>
      </c>
      <c r="E38" s="0" t="s">
        <v>46</v>
      </c>
      <c r="F38" s="0" t="s">
        <v>46</v>
      </c>
      <c r="G38" s="0" t="s">
        <v>3296</v>
      </c>
      <c r="H38" s="0" t="s">
        <v>3297</v>
      </c>
      <c r="I38" s="0" t="s">
        <v>46</v>
      </c>
      <c r="J38" s="0" t="s">
        <v>46</v>
      </c>
      <c r="K38" s="0" t="s">
        <v>46</v>
      </c>
      <c r="L38" s="0" t="s">
        <v>46</v>
      </c>
      <c r="M38" s="0" t="s">
        <v>46</v>
      </c>
      <c r="N38" s="0" t="s">
        <v>46</v>
      </c>
    </row>
    <row r="39" customFormat="false" ht="15" hidden="false" customHeight="false" outlineLevel="0" collapsed="false">
      <c r="A39" s="0" t="s">
        <v>3298</v>
      </c>
      <c r="B39" s="0" t="s">
        <v>937</v>
      </c>
      <c r="C39" s="0" t="s">
        <v>938</v>
      </c>
      <c r="D39" s="0" t="s">
        <v>939</v>
      </c>
      <c r="E39" s="0" t="s">
        <v>46</v>
      </c>
      <c r="F39" s="0" t="s">
        <v>3299</v>
      </c>
      <c r="G39" s="0" t="s">
        <v>3300</v>
      </c>
      <c r="H39" s="0" t="s">
        <v>3301</v>
      </c>
      <c r="I39" s="0" t="s">
        <v>46</v>
      </c>
      <c r="J39" s="0" t="s">
        <v>46</v>
      </c>
      <c r="K39" s="0" t="s">
        <v>46</v>
      </c>
      <c r="L39" s="0" t="s">
        <v>46</v>
      </c>
      <c r="M39" s="0" t="s">
        <v>46</v>
      </c>
      <c r="N39" s="0" t="s">
        <v>46</v>
      </c>
    </row>
    <row r="40" customFormat="false" ht="15" hidden="false" customHeight="false" outlineLevel="0" collapsed="false">
      <c r="A40" s="0" t="s">
        <v>3302</v>
      </c>
      <c r="B40" s="0" t="s">
        <v>3140</v>
      </c>
      <c r="C40" s="0" t="s">
        <v>3141</v>
      </c>
      <c r="D40" s="0" t="s">
        <v>46</v>
      </c>
      <c r="E40" s="0" t="s">
        <v>46</v>
      </c>
      <c r="F40" s="0" t="s">
        <v>3303</v>
      </c>
      <c r="G40" s="0" t="s">
        <v>3304</v>
      </c>
      <c r="H40" s="0" t="s">
        <v>3305</v>
      </c>
      <c r="I40" s="0" t="s">
        <v>46</v>
      </c>
      <c r="J40" s="0" t="s">
        <v>46</v>
      </c>
      <c r="K40" s="0" t="s">
        <v>46</v>
      </c>
      <c r="L40" s="0" t="s">
        <v>46</v>
      </c>
      <c r="M40" s="0" t="s">
        <v>46</v>
      </c>
      <c r="N40" s="0" t="s">
        <v>46</v>
      </c>
    </row>
    <row r="41" customFormat="false" ht="15" hidden="false" customHeight="false" outlineLevel="0" collapsed="false">
      <c r="A41" s="0" t="s">
        <v>3306</v>
      </c>
      <c r="B41" s="0" t="s">
        <v>682</v>
      </c>
      <c r="C41" s="0" t="s">
        <v>683</v>
      </c>
      <c r="D41" s="0" t="s">
        <v>684</v>
      </c>
      <c r="E41" s="0" t="s">
        <v>46</v>
      </c>
      <c r="F41" s="0" t="s">
        <v>46</v>
      </c>
      <c r="G41" s="0" t="s">
        <v>46</v>
      </c>
      <c r="H41" s="0" t="s">
        <v>46</v>
      </c>
      <c r="I41" s="0" t="s">
        <v>46</v>
      </c>
      <c r="J41" s="0" t="s">
        <v>46</v>
      </c>
      <c r="K41" s="0" t="s">
        <v>46</v>
      </c>
      <c r="L41" s="0" t="s">
        <v>46</v>
      </c>
      <c r="M41" s="0" t="s">
        <v>46</v>
      </c>
      <c r="N41" s="0" t="s">
        <v>46</v>
      </c>
    </row>
    <row r="42" customFormat="false" ht="15" hidden="false" customHeight="false" outlineLevel="0" collapsed="false">
      <c r="A42" s="0" t="s">
        <v>3307</v>
      </c>
      <c r="B42" s="0" t="s">
        <v>2914</v>
      </c>
      <c r="C42" s="0" t="s">
        <v>2915</v>
      </c>
      <c r="D42" s="0" t="s">
        <v>2916</v>
      </c>
      <c r="E42" s="0" t="s">
        <v>46</v>
      </c>
      <c r="F42" s="0" t="s">
        <v>46</v>
      </c>
      <c r="G42" s="0" t="s">
        <v>3308</v>
      </c>
      <c r="H42" s="0" t="s">
        <v>3309</v>
      </c>
      <c r="I42" s="0" t="s">
        <v>46</v>
      </c>
      <c r="J42" s="0" t="s">
        <v>46</v>
      </c>
      <c r="K42" s="0" t="s">
        <v>46</v>
      </c>
      <c r="L42" s="0" t="s">
        <v>46</v>
      </c>
      <c r="M42" s="0" t="s">
        <v>46</v>
      </c>
      <c r="N42" s="0" t="s">
        <v>46</v>
      </c>
    </row>
    <row r="43" customFormat="false" ht="15" hidden="false" customHeight="false" outlineLevel="0" collapsed="false">
      <c r="A43" s="0" t="s">
        <v>3310</v>
      </c>
      <c r="B43" s="0" t="s">
        <v>2687</v>
      </c>
      <c r="C43" s="0" t="s">
        <v>3311</v>
      </c>
      <c r="D43" s="0" t="s">
        <v>2689</v>
      </c>
      <c r="E43" s="0" t="s">
        <v>2690</v>
      </c>
      <c r="F43" s="0" t="s">
        <v>46</v>
      </c>
      <c r="G43" s="0" t="s">
        <v>3312</v>
      </c>
      <c r="H43" s="0" t="s">
        <v>3313</v>
      </c>
      <c r="I43" s="0" t="str">
        <f aca="false">HYPERLINK("https://omim.org/entry/601238", "601238")</f>
        <v>601238</v>
      </c>
      <c r="J43" s="0" t="s">
        <v>46</v>
      </c>
      <c r="K43" s="0" t="s">
        <v>46</v>
      </c>
      <c r="L43" s="0" t="s">
        <v>46</v>
      </c>
      <c r="M43" s="0" t="s">
        <v>46</v>
      </c>
      <c r="N43" s="0" t="s">
        <v>46</v>
      </c>
    </row>
    <row r="44" customFormat="false" ht="15" hidden="false" customHeight="false" outlineLevel="0" collapsed="false">
      <c r="A44" s="0" t="s">
        <v>3314</v>
      </c>
      <c r="B44" s="0" t="s">
        <v>298</v>
      </c>
      <c r="C44" s="0" t="s">
        <v>299</v>
      </c>
      <c r="D44" s="0" t="s">
        <v>300</v>
      </c>
      <c r="E44" s="0" t="s">
        <v>46</v>
      </c>
      <c r="F44" s="0" t="s">
        <v>3315</v>
      </c>
      <c r="G44" s="0" t="s">
        <v>46</v>
      </c>
      <c r="H44" s="0" t="s">
        <v>46</v>
      </c>
      <c r="I44" s="0" t="s">
        <v>46</v>
      </c>
      <c r="J44" s="0" t="s">
        <v>46</v>
      </c>
      <c r="K44" s="0" t="s">
        <v>46</v>
      </c>
      <c r="L44" s="0" t="s">
        <v>46</v>
      </c>
      <c r="M44" s="0" t="s">
        <v>46</v>
      </c>
      <c r="N44" s="0" t="s">
        <v>46</v>
      </c>
    </row>
    <row r="45" customFormat="false" ht="15" hidden="false" customHeight="false" outlineLevel="0" collapsed="false">
      <c r="A45" s="0" t="s">
        <v>3316</v>
      </c>
      <c r="B45" s="0" t="s">
        <v>1093</v>
      </c>
      <c r="C45" s="0" t="s">
        <v>1094</v>
      </c>
      <c r="D45" s="0" t="s">
        <v>1095</v>
      </c>
      <c r="E45" s="0" t="s">
        <v>46</v>
      </c>
      <c r="F45" s="0" t="s">
        <v>46</v>
      </c>
      <c r="G45" s="0" t="s">
        <v>3317</v>
      </c>
      <c r="H45" s="0" t="s">
        <v>3318</v>
      </c>
      <c r="I45" s="0" t="s">
        <v>46</v>
      </c>
      <c r="J45" s="0" t="s">
        <v>46</v>
      </c>
      <c r="K45" s="0" t="s">
        <v>46</v>
      </c>
      <c r="L45" s="0" t="s">
        <v>46</v>
      </c>
      <c r="M45" s="0" t="s">
        <v>46</v>
      </c>
      <c r="N45" s="0" t="s">
        <v>46</v>
      </c>
    </row>
    <row r="46" customFormat="false" ht="15" hidden="false" customHeight="false" outlineLevel="0" collapsed="false">
      <c r="A46" s="0" t="s">
        <v>3319</v>
      </c>
      <c r="B46" s="0" t="s">
        <v>2928</v>
      </c>
      <c r="C46" s="0" t="s">
        <v>3320</v>
      </c>
      <c r="D46" s="0" t="s">
        <v>46</v>
      </c>
      <c r="E46" s="0" t="s">
        <v>2930</v>
      </c>
      <c r="F46" s="0" t="s">
        <v>3321</v>
      </c>
      <c r="G46" s="0" t="s">
        <v>3322</v>
      </c>
      <c r="H46" s="0" t="s">
        <v>3323</v>
      </c>
      <c r="I46" s="0" t="s">
        <v>46</v>
      </c>
      <c r="J46" s="0" t="s">
        <v>46</v>
      </c>
      <c r="K46" s="0" t="s">
        <v>46</v>
      </c>
      <c r="L46" s="0" t="s">
        <v>46</v>
      </c>
      <c r="M46" s="0" t="s">
        <v>46</v>
      </c>
      <c r="N46" s="0" t="s">
        <v>46</v>
      </c>
    </row>
    <row r="47" customFormat="false" ht="15" hidden="false" customHeight="false" outlineLevel="0" collapsed="false">
      <c r="A47" s="0" t="s">
        <v>3324</v>
      </c>
      <c r="B47" s="0" t="s">
        <v>46</v>
      </c>
      <c r="C47" s="0" t="s">
        <v>3325</v>
      </c>
      <c r="D47" s="0" t="s">
        <v>46</v>
      </c>
      <c r="E47" s="0" t="s">
        <v>46</v>
      </c>
      <c r="F47" s="0" t="s">
        <v>46</v>
      </c>
      <c r="G47" s="0" t="s">
        <v>46</v>
      </c>
      <c r="H47" s="0" t="s">
        <v>46</v>
      </c>
      <c r="I47" s="0" t="s">
        <v>46</v>
      </c>
      <c r="J47" s="0" t="s">
        <v>46</v>
      </c>
      <c r="K47" s="0" t="s">
        <v>46</v>
      </c>
      <c r="L47" s="0" t="s">
        <v>46</v>
      </c>
      <c r="M47" s="0" t="s">
        <v>46</v>
      </c>
      <c r="N47" s="0" t="s">
        <v>46</v>
      </c>
    </row>
    <row r="48" customFormat="false" ht="15" hidden="false" customHeight="false" outlineLevel="0" collapsed="false">
      <c r="A48" s="0" t="s">
        <v>3326</v>
      </c>
      <c r="B48" s="0" t="s">
        <v>1942</v>
      </c>
      <c r="C48" s="0" t="s">
        <v>1943</v>
      </c>
      <c r="D48" s="0" t="s">
        <v>1944</v>
      </c>
      <c r="E48" s="0" t="s">
        <v>46</v>
      </c>
      <c r="F48" s="0" t="s">
        <v>3327</v>
      </c>
      <c r="G48" s="0" t="s">
        <v>46</v>
      </c>
      <c r="H48" s="0" t="s">
        <v>46</v>
      </c>
      <c r="I48" s="0" t="s">
        <v>46</v>
      </c>
      <c r="J48" s="0" t="s">
        <v>46</v>
      </c>
      <c r="K48" s="0" t="s">
        <v>46</v>
      </c>
      <c r="L48" s="0" t="s">
        <v>46</v>
      </c>
      <c r="M48" s="0" t="s">
        <v>46</v>
      </c>
      <c r="N48" s="0" t="s">
        <v>46</v>
      </c>
    </row>
    <row r="49" customFormat="false" ht="15" hidden="false" customHeight="false" outlineLevel="0" collapsed="false">
      <c r="A49" s="0" t="s">
        <v>3328</v>
      </c>
      <c r="B49" s="0" t="s">
        <v>2659</v>
      </c>
      <c r="C49" s="0" t="s">
        <v>2660</v>
      </c>
      <c r="D49" s="0" t="s">
        <v>2661</v>
      </c>
      <c r="E49" s="0" t="s">
        <v>2662</v>
      </c>
      <c r="F49" s="0" t="s">
        <v>3329</v>
      </c>
      <c r="G49" s="0" t="s">
        <v>3330</v>
      </c>
      <c r="H49" s="0" t="s">
        <v>3331</v>
      </c>
      <c r="I49" s="0" t="str">
        <f aca="false">HYPERLINK("https://omim.org/entry/243300", "243300")</f>
        <v>243300</v>
      </c>
      <c r="J49" s="0" t="str">
        <f aca="false">HYPERLINK("https://omim.org/entry/147480", "147480")</f>
        <v>147480</v>
      </c>
      <c r="K49" s="0" t="s">
        <v>46</v>
      </c>
      <c r="L49" s="0" t="s">
        <v>46</v>
      </c>
      <c r="M49" s="0" t="s">
        <v>46</v>
      </c>
      <c r="N49" s="0" t="s">
        <v>46</v>
      </c>
    </row>
    <row r="50" customFormat="false" ht="15" hidden="false" customHeight="false" outlineLevel="0" collapsed="false">
      <c r="A50" s="0" t="s">
        <v>3332</v>
      </c>
      <c r="B50" s="0" t="s">
        <v>1836</v>
      </c>
      <c r="C50" s="0" t="s">
        <v>1837</v>
      </c>
      <c r="D50" s="0" t="s">
        <v>1838</v>
      </c>
      <c r="E50" s="0" t="s">
        <v>46</v>
      </c>
      <c r="F50" s="0" t="s">
        <v>3333</v>
      </c>
      <c r="G50" s="0" t="s">
        <v>3334</v>
      </c>
      <c r="H50" s="0" t="s">
        <v>3335</v>
      </c>
      <c r="I50" s="0" t="s">
        <v>46</v>
      </c>
      <c r="J50" s="0" t="s">
        <v>46</v>
      </c>
      <c r="K50" s="0" t="s">
        <v>46</v>
      </c>
      <c r="L50" s="0" t="s">
        <v>46</v>
      </c>
      <c r="M50" s="0" t="s">
        <v>46</v>
      </c>
      <c r="N50" s="0" t="s">
        <v>46</v>
      </c>
    </row>
    <row r="51" customFormat="false" ht="15" hidden="false" customHeight="false" outlineLevel="0" collapsed="false">
      <c r="A51" s="0" t="s">
        <v>3336</v>
      </c>
      <c r="B51" s="0" t="s">
        <v>46</v>
      </c>
      <c r="C51" s="0" t="s">
        <v>1320</v>
      </c>
      <c r="D51" s="0" t="s">
        <v>46</v>
      </c>
      <c r="E51" s="0" t="s">
        <v>46</v>
      </c>
      <c r="F51" s="0" t="s">
        <v>46</v>
      </c>
      <c r="G51" s="0" t="s">
        <v>3337</v>
      </c>
      <c r="H51" s="0" t="s">
        <v>46</v>
      </c>
      <c r="I51" s="0" t="s">
        <v>46</v>
      </c>
      <c r="J51" s="0" t="s">
        <v>46</v>
      </c>
      <c r="K51" s="0" t="s">
        <v>46</v>
      </c>
      <c r="L51" s="0" t="s">
        <v>46</v>
      </c>
      <c r="M51" s="0" t="s">
        <v>46</v>
      </c>
      <c r="N51" s="0" t="s">
        <v>46</v>
      </c>
    </row>
    <row r="52" customFormat="false" ht="15" hidden="false" customHeight="false" outlineLevel="0" collapsed="false">
      <c r="A52" s="0" t="s">
        <v>3338</v>
      </c>
      <c r="B52" s="0" t="s">
        <v>1117</v>
      </c>
      <c r="C52" s="0" t="s">
        <v>1118</v>
      </c>
      <c r="D52" s="0" t="s">
        <v>1119</v>
      </c>
      <c r="E52" s="0" t="s">
        <v>46</v>
      </c>
      <c r="F52" s="0" t="s">
        <v>46</v>
      </c>
      <c r="G52" s="0" t="s">
        <v>46</v>
      </c>
      <c r="H52" s="0" t="s">
        <v>46</v>
      </c>
      <c r="I52" s="0" t="s">
        <v>46</v>
      </c>
      <c r="J52" s="0" t="s">
        <v>46</v>
      </c>
      <c r="K52" s="0" t="s">
        <v>46</v>
      </c>
      <c r="L52" s="0" t="s">
        <v>46</v>
      </c>
      <c r="M52" s="0" t="s">
        <v>46</v>
      </c>
      <c r="N52" s="0" t="s">
        <v>46</v>
      </c>
    </row>
    <row r="53" customFormat="false" ht="15" hidden="false" customHeight="false" outlineLevel="0" collapsed="false">
      <c r="A53" s="0" t="s">
        <v>3339</v>
      </c>
      <c r="B53" s="0" t="s">
        <v>1249</v>
      </c>
      <c r="C53" s="0" t="s">
        <v>1250</v>
      </c>
      <c r="D53" s="0" t="s">
        <v>1251</v>
      </c>
      <c r="E53" s="0" t="s">
        <v>46</v>
      </c>
      <c r="F53" s="0" t="s">
        <v>3340</v>
      </c>
      <c r="G53" s="0" t="s">
        <v>3341</v>
      </c>
      <c r="H53" s="0" t="s">
        <v>3342</v>
      </c>
      <c r="I53" s="0" t="s">
        <v>46</v>
      </c>
      <c r="J53" s="0" t="s">
        <v>46</v>
      </c>
      <c r="K53" s="0" t="s">
        <v>46</v>
      </c>
      <c r="L53" s="0" t="s">
        <v>46</v>
      </c>
      <c r="M53" s="0" t="s">
        <v>46</v>
      </c>
      <c r="N53" s="0" t="s">
        <v>46</v>
      </c>
    </row>
    <row r="54" customFormat="false" ht="15" hidden="false" customHeight="false" outlineLevel="0" collapsed="false">
      <c r="A54" s="0" t="s">
        <v>3343</v>
      </c>
      <c r="B54" s="0" t="s">
        <v>2293</v>
      </c>
      <c r="C54" s="0" t="s">
        <v>2294</v>
      </c>
      <c r="D54" s="0" t="s">
        <v>2295</v>
      </c>
      <c r="E54" s="0" t="s">
        <v>2296</v>
      </c>
      <c r="F54" s="0" t="s">
        <v>46</v>
      </c>
      <c r="G54" s="0" t="s">
        <v>3344</v>
      </c>
      <c r="H54" s="0" t="s">
        <v>3345</v>
      </c>
      <c r="I54" s="0" t="str">
        <f aca="false">HYPERLINK("https://omim.org/entry/601331", "601331")</f>
        <v>601331</v>
      </c>
      <c r="J54" s="0" t="s">
        <v>46</v>
      </c>
      <c r="K54" s="0" t="s">
        <v>46</v>
      </c>
      <c r="L54" s="0" t="s">
        <v>46</v>
      </c>
      <c r="M54" s="0" t="s">
        <v>46</v>
      </c>
      <c r="N54" s="0" t="s">
        <v>46</v>
      </c>
    </row>
    <row r="55" customFormat="false" ht="15" hidden="false" customHeight="false" outlineLevel="0" collapsed="false">
      <c r="A55" s="0" t="s">
        <v>3346</v>
      </c>
      <c r="B55" s="0" t="s">
        <v>2380</v>
      </c>
      <c r="C55" s="0" t="s">
        <v>2381</v>
      </c>
      <c r="D55" s="0" t="s">
        <v>2382</v>
      </c>
      <c r="E55" s="0" t="s">
        <v>46</v>
      </c>
      <c r="F55" s="0" t="s">
        <v>3347</v>
      </c>
      <c r="G55" s="0" t="s">
        <v>3348</v>
      </c>
      <c r="H55" s="0" t="s">
        <v>3349</v>
      </c>
      <c r="I55" s="0" t="s">
        <v>46</v>
      </c>
      <c r="J55" s="0" t="s">
        <v>46</v>
      </c>
      <c r="K55" s="0" t="s">
        <v>46</v>
      </c>
      <c r="L55" s="0" t="s">
        <v>46</v>
      </c>
      <c r="M55" s="0" t="s">
        <v>46</v>
      </c>
      <c r="N55" s="0" t="s">
        <v>46</v>
      </c>
    </row>
    <row r="56" customFormat="false" ht="15" hidden="false" customHeight="false" outlineLevel="0" collapsed="false">
      <c r="A56" s="0" t="s">
        <v>3350</v>
      </c>
      <c r="B56" s="0" t="s">
        <v>1443</v>
      </c>
      <c r="C56" s="0" t="s">
        <v>1444</v>
      </c>
      <c r="D56" s="0" t="s">
        <v>1445</v>
      </c>
      <c r="E56" s="0" t="s">
        <v>46</v>
      </c>
      <c r="F56" s="0" t="s">
        <v>3351</v>
      </c>
      <c r="G56" s="0" t="s">
        <v>46</v>
      </c>
      <c r="H56" s="0" t="s">
        <v>46</v>
      </c>
      <c r="I56" s="0" t="s">
        <v>46</v>
      </c>
      <c r="J56" s="0" t="s">
        <v>46</v>
      </c>
      <c r="K56" s="0" t="s">
        <v>46</v>
      </c>
      <c r="L56" s="0" t="s">
        <v>46</v>
      </c>
      <c r="M56" s="0" t="s">
        <v>46</v>
      </c>
      <c r="N56" s="0" t="s">
        <v>46</v>
      </c>
    </row>
    <row r="57" customFormat="false" ht="15" hidden="false" customHeight="false" outlineLevel="0" collapsed="false">
      <c r="A57" s="0" t="s">
        <v>3352</v>
      </c>
      <c r="B57" s="0" t="s">
        <v>2054</v>
      </c>
      <c r="C57" s="0" t="s">
        <v>2055</v>
      </c>
      <c r="D57" s="0" t="s">
        <v>2056</v>
      </c>
      <c r="E57" s="0" t="s">
        <v>46</v>
      </c>
      <c r="F57" s="0" t="s">
        <v>3353</v>
      </c>
      <c r="G57" s="0" t="s">
        <v>3354</v>
      </c>
      <c r="H57" s="0" t="s">
        <v>3355</v>
      </c>
      <c r="I57" s="0" t="s">
        <v>46</v>
      </c>
      <c r="J57" s="0" t="s">
        <v>46</v>
      </c>
      <c r="K57" s="0" t="s">
        <v>46</v>
      </c>
      <c r="L57" s="0" t="s">
        <v>46</v>
      </c>
      <c r="M57" s="0" t="s">
        <v>46</v>
      </c>
      <c r="N57" s="0" t="s">
        <v>46</v>
      </c>
    </row>
    <row r="58" customFormat="false" ht="15" hidden="false" customHeight="false" outlineLevel="0" collapsed="false">
      <c r="A58" s="0" t="s">
        <v>3356</v>
      </c>
      <c r="B58" s="0" t="s">
        <v>2122</v>
      </c>
      <c r="C58" s="0" t="s">
        <v>2123</v>
      </c>
      <c r="D58" s="0" t="s">
        <v>2124</v>
      </c>
      <c r="E58" s="0" t="s">
        <v>46</v>
      </c>
      <c r="F58" s="0" t="s">
        <v>46</v>
      </c>
      <c r="G58" s="0" t="s">
        <v>46</v>
      </c>
      <c r="H58" s="0" t="s">
        <v>46</v>
      </c>
      <c r="I58" s="0" t="s">
        <v>46</v>
      </c>
      <c r="J58" s="0" t="s">
        <v>46</v>
      </c>
      <c r="K58" s="0" t="s">
        <v>46</v>
      </c>
      <c r="L58" s="0" t="s">
        <v>46</v>
      </c>
      <c r="M58" s="0" t="s">
        <v>46</v>
      </c>
      <c r="N58" s="0" t="s">
        <v>46</v>
      </c>
    </row>
    <row r="59" customFormat="false" ht="15" hidden="false" customHeight="false" outlineLevel="0" collapsed="false">
      <c r="A59" s="0" t="s">
        <v>3357</v>
      </c>
      <c r="B59" s="0" t="s">
        <v>1641</v>
      </c>
      <c r="C59" s="0" t="s">
        <v>1642</v>
      </c>
      <c r="D59" s="0" t="s">
        <v>46</v>
      </c>
      <c r="E59" s="0" t="s">
        <v>46</v>
      </c>
      <c r="F59" s="0" t="s">
        <v>3358</v>
      </c>
      <c r="G59" s="0" t="s">
        <v>3359</v>
      </c>
      <c r="H59" s="0" t="s">
        <v>46</v>
      </c>
      <c r="I59" s="0" t="s">
        <v>46</v>
      </c>
      <c r="J59" s="0" t="s">
        <v>46</v>
      </c>
      <c r="K59" s="0" t="s">
        <v>46</v>
      </c>
      <c r="L59" s="0" t="s">
        <v>46</v>
      </c>
      <c r="M59" s="0" t="s">
        <v>46</v>
      </c>
      <c r="N59" s="0" t="s">
        <v>46</v>
      </c>
    </row>
    <row r="60" customFormat="false" ht="15" hidden="false" customHeight="false" outlineLevel="0" collapsed="false">
      <c r="A60" s="0" t="s">
        <v>3360</v>
      </c>
      <c r="B60" s="0" t="s">
        <v>184</v>
      </c>
      <c r="C60" s="0" t="s">
        <v>185</v>
      </c>
      <c r="D60" s="0" t="s">
        <v>186</v>
      </c>
      <c r="E60" s="0" t="s">
        <v>187</v>
      </c>
      <c r="F60" s="0" t="s">
        <v>3361</v>
      </c>
      <c r="G60" s="0" t="s">
        <v>46</v>
      </c>
      <c r="H60" s="0" t="s">
        <v>46</v>
      </c>
      <c r="I60" s="0" t="str">
        <f aca="false">HYPERLINK("https://omim.org/entry/114480", "114480")</f>
        <v>114480</v>
      </c>
      <c r="J60" s="0" t="str">
        <f aca="false">HYPERLINK("https://omim.org/entry/613347", "613347")</f>
        <v>613347</v>
      </c>
      <c r="K60" s="0" t="str">
        <f aca="false">HYPERLINK("https://omim.org/entry/612555", "612555")</f>
        <v>612555</v>
      </c>
      <c r="L60" s="0" t="str">
        <f aca="false">HYPERLINK("https://omim.org/entry/605724", "605724")</f>
        <v>605724</v>
      </c>
      <c r="M60" s="0" t="str">
        <f aca="false">HYPERLINK("https://omim.org/entry/613029", "613029")</f>
        <v>613029</v>
      </c>
      <c r="N60" s="0" t="s">
        <v>46</v>
      </c>
    </row>
    <row r="61" customFormat="false" ht="15" hidden="false" customHeight="false" outlineLevel="0" collapsed="false">
      <c r="A61" s="0" t="s">
        <v>3362</v>
      </c>
      <c r="B61" s="0" t="s">
        <v>899</v>
      </c>
      <c r="C61" s="0" t="s">
        <v>900</v>
      </c>
      <c r="D61" s="0" t="s">
        <v>901</v>
      </c>
      <c r="E61" s="0" t="s">
        <v>46</v>
      </c>
      <c r="F61" s="0" t="s">
        <v>46</v>
      </c>
      <c r="G61" s="0" t="s">
        <v>46</v>
      </c>
      <c r="H61" s="0" t="s">
        <v>46</v>
      </c>
      <c r="I61" s="0" t="s">
        <v>46</v>
      </c>
      <c r="J61" s="0" t="s">
        <v>46</v>
      </c>
      <c r="K61" s="0" t="s">
        <v>46</v>
      </c>
      <c r="L61" s="0" t="s">
        <v>46</v>
      </c>
      <c r="M61" s="0" t="s">
        <v>46</v>
      </c>
      <c r="N61" s="0" t="s">
        <v>46</v>
      </c>
    </row>
    <row r="62" customFormat="false" ht="15" hidden="false" customHeight="false" outlineLevel="0" collapsed="false">
      <c r="A62" s="0" t="s">
        <v>3363</v>
      </c>
      <c r="B62" s="0" t="s">
        <v>1191</v>
      </c>
      <c r="C62" s="0" t="s">
        <v>1192</v>
      </c>
      <c r="D62" s="0" t="s">
        <v>1193</v>
      </c>
      <c r="E62" s="0" t="s">
        <v>46</v>
      </c>
      <c r="F62" s="0" t="s">
        <v>46</v>
      </c>
      <c r="G62" s="0" t="s">
        <v>3364</v>
      </c>
      <c r="H62" s="0" t="s">
        <v>3365</v>
      </c>
      <c r="I62" s="0" t="s">
        <v>46</v>
      </c>
      <c r="J62" s="0" t="s">
        <v>46</v>
      </c>
      <c r="K62" s="0" t="s">
        <v>46</v>
      </c>
      <c r="L62" s="0" t="s">
        <v>46</v>
      </c>
      <c r="M62" s="0" t="s">
        <v>46</v>
      </c>
      <c r="N62" s="0" t="s">
        <v>46</v>
      </c>
    </row>
    <row r="63" customFormat="false" ht="15" hidden="false" customHeight="false" outlineLevel="0" collapsed="false">
      <c r="A63" s="0" t="s">
        <v>3366</v>
      </c>
      <c r="B63" s="0" t="s">
        <v>1338</v>
      </c>
      <c r="C63" s="0" t="s">
        <v>1339</v>
      </c>
      <c r="D63" s="0" t="s">
        <v>1340</v>
      </c>
      <c r="E63" s="0" t="s">
        <v>46</v>
      </c>
      <c r="F63" s="0" t="s">
        <v>46</v>
      </c>
      <c r="G63" s="0" t="s">
        <v>3367</v>
      </c>
      <c r="H63" s="0" t="s">
        <v>46</v>
      </c>
      <c r="I63" s="0" t="s">
        <v>46</v>
      </c>
      <c r="J63" s="0" t="s">
        <v>46</v>
      </c>
      <c r="K63" s="0" t="s">
        <v>46</v>
      </c>
      <c r="L63" s="0" t="s">
        <v>46</v>
      </c>
      <c r="M63" s="0" t="s">
        <v>46</v>
      </c>
      <c r="N63" s="0" t="s">
        <v>46</v>
      </c>
    </row>
    <row r="64" customFormat="false" ht="15" hidden="false" customHeight="false" outlineLevel="0" collapsed="false">
      <c r="A64" s="0" t="s">
        <v>3368</v>
      </c>
      <c r="B64" s="0" t="s">
        <v>2641</v>
      </c>
      <c r="C64" s="0" t="s">
        <v>2642</v>
      </c>
      <c r="D64" s="0" t="s">
        <v>46</v>
      </c>
      <c r="E64" s="0" t="s">
        <v>46</v>
      </c>
      <c r="F64" s="0" t="s">
        <v>46</v>
      </c>
      <c r="G64" s="0" t="s">
        <v>3369</v>
      </c>
      <c r="H64" s="0" t="s">
        <v>3370</v>
      </c>
      <c r="I64" s="0" t="s">
        <v>46</v>
      </c>
      <c r="J64" s="0" t="s">
        <v>46</v>
      </c>
      <c r="K64" s="0" t="s">
        <v>46</v>
      </c>
      <c r="L64" s="0" t="s">
        <v>46</v>
      </c>
      <c r="M64" s="0" t="s">
        <v>46</v>
      </c>
      <c r="N64" s="0" t="s">
        <v>46</v>
      </c>
    </row>
    <row r="65" customFormat="false" ht="15" hidden="false" customHeight="false" outlineLevel="0" collapsed="false">
      <c r="A65" s="0" t="s">
        <v>3371</v>
      </c>
      <c r="B65" s="0" t="s">
        <v>217</v>
      </c>
      <c r="C65" s="0" t="s">
        <v>218</v>
      </c>
      <c r="D65" s="0" t="s">
        <v>46</v>
      </c>
      <c r="E65" s="0" t="s">
        <v>46</v>
      </c>
      <c r="F65" s="0" t="s">
        <v>46</v>
      </c>
      <c r="G65" s="0" t="s">
        <v>3372</v>
      </c>
      <c r="H65" s="0" t="s">
        <v>46</v>
      </c>
      <c r="I65" s="0" t="s">
        <v>46</v>
      </c>
      <c r="J65" s="0" t="s">
        <v>46</v>
      </c>
      <c r="K65" s="0" t="s">
        <v>46</v>
      </c>
      <c r="L65" s="0" t="s">
        <v>46</v>
      </c>
      <c r="M65" s="0" t="s">
        <v>46</v>
      </c>
      <c r="N65" s="0" t="s">
        <v>46</v>
      </c>
    </row>
    <row r="66" customFormat="false" ht="15" hidden="false" customHeight="false" outlineLevel="0" collapsed="false">
      <c r="A66" s="0" t="s">
        <v>3373</v>
      </c>
      <c r="B66" s="0" t="s">
        <v>2267</v>
      </c>
      <c r="C66" s="0" t="s">
        <v>2268</v>
      </c>
      <c r="D66" s="0" t="s">
        <v>46</v>
      </c>
      <c r="E66" s="0" t="s">
        <v>46</v>
      </c>
      <c r="F66" s="0" t="s">
        <v>46</v>
      </c>
      <c r="G66" s="0" t="s">
        <v>46</v>
      </c>
      <c r="H66" s="0" t="s">
        <v>46</v>
      </c>
      <c r="I66" s="0" t="s">
        <v>46</v>
      </c>
      <c r="J66" s="0" t="s">
        <v>46</v>
      </c>
      <c r="K66" s="0" t="s">
        <v>46</v>
      </c>
      <c r="L66" s="0" t="s">
        <v>46</v>
      </c>
      <c r="M66" s="0" t="s">
        <v>46</v>
      </c>
      <c r="N66" s="0" t="s">
        <v>46</v>
      </c>
    </row>
    <row r="67" customFormat="false" ht="15" hidden="false" customHeight="false" outlineLevel="0" collapsed="false">
      <c r="A67" s="0" t="s">
        <v>3374</v>
      </c>
      <c r="B67" s="0" t="s">
        <v>1440</v>
      </c>
      <c r="C67" s="0" t="s">
        <v>1441</v>
      </c>
      <c r="D67" s="0" t="s">
        <v>46</v>
      </c>
      <c r="E67" s="0" t="s">
        <v>46</v>
      </c>
      <c r="F67" s="0" t="s">
        <v>46</v>
      </c>
      <c r="G67" s="0" t="s">
        <v>3375</v>
      </c>
      <c r="H67" s="0" t="s">
        <v>3376</v>
      </c>
      <c r="I67" s="0" t="s">
        <v>46</v>
      </c>
      <c r="J67" s="0" t="s">
        <v>46</v>
      </c>
      <c r="K67" s="0" t="s">
        <v>46</v>
      </c>
      <c r="L67" s="0" t="s">
        <v>46</v>
      </c>
      <c r="M67" s="0" t="s">
        <v>46</v>
      </c>
      <c r="N67" s="0" t="s">
        <v>46</v>
      </c>
    </row>
    <row r="68" customFormat="false" ht="15" hidden="false" customHeight="false" outlineLevel="0" collapsed="false">
      <c r="A68" s="0" t="s">
        <v>3377</v>
      </c>
      <c r="B68" s="0" t="s">
        <v>1674</v>
      </c>
      <c r="C68" s="0" t="s">
        <v>1675</v>
      </c>
      <c r="D68" s="0" t="s">
        <v>1676</v>
      </c>
      <c r="E68" s="0" t="s">
        <v>46</v>
      </c>
      <c r="F68" s="0" t="s">
        <v>46</v>
      </c>
      <c r="G68" s="0" t="s">
        <v>3378</v>
      </c>
      <c r="H68" s="0" t="s">
        <v>3379</v>
      </c>
      <c r="I68" s="0" t="s">
        <v>46</v>
      </c>
      <c r="J68" s="0" t="s">
        <v>46</v>
      </c>
      <c r="K68" s="0" t="s">
        <v>46</v>
      </c>
      <c r="L68" s="0" t="s">
        <v>46</v>
      </c>
      <c r="M68" s="0" t="s">
        <v>46</v>
      </c>
      <c r="N68" s="0" t="s">
        <v>46</v>
      </c>
    </row>
    <row r="69" customFormat="false" ht="15" hidden="false" customHeight="false" outlineLevel="0" collapsed="false">
      <c r="A69" s="0" t="s">
        <v>3380</v>
      </c>
      <c r="B69" s="0" t="s">
        <v>2948</v>
      </c>
      <c r="C69" s="0" t="s">
        <v>2949</v>
      </c>
      <c r="D69" s="0" t="s">
        <v>46</v>
      </c>
      <c r="E69" s="0" t="s">
        <v>46</v>
      </c>
      <c r="F69" s="0" t="s">
        <v>46</v>
      </c>
      <c r="G69" s="0" t="s">
        <v>3381</v>
      </c>
      <c r="H69" s="0" t="s">
        <v>46</v>
      </c>
      <c r="I69" s="0" t="s">
        <v>46</v>
      </c>
      <c r="J69" s="0" t="s">
        <v>46</v>
      </c>
      <c r="K69" s="0" t="s">
        <v>46</v>
      </c>
      <c r="L69" s="0" t="s">
        <v>46</v>
      </c>
      <c r="M69" s="0" t="s">
        <v>46</v>
      </c>
      <c r="N69" s="0" t="s">
        <v>46</v>
      </c>
    </row>
    <row r="70" customFormat="false" ht="15" hidden="false" customHeight="false" outlineLevel="0" collapsed="false">
      <c r="A70" s="0" t="s">
        <v>3382</v>
      </c>
      <c r="B70" s="0" t="s">
        <v>2012</v>
      </c>
      <c r="C70" s="0" t="s">
        <v>2013</v>
      </c>
      <c r="D70" s="0" t="s">
        <v>2014</v>
      </c>
      <c r="E70" s="0" t="s">
        <v>2015</v>
      </c>
      <c r="F70" s="0" t="s">
        <v>46</v>
      </c>
      <c r="G70" s="0" t="s">
        <v>46</v>
      </c>
      <c r="H70" s="0" t="s">
        <v>46</v>
      </c>
      <c r="I70" s="0" t="str">
        <f aca="false">HYPERLINK("https://omim.org/entry/613789", "613789")</f>
        <v>613789</v>
      </c>
      <c r="J70" s="0" t="s">
        <v>46</v>
      </c>
      <c r="K70" s="0" t="s">
        <v>46</v>
      </c>
      <c r="L70" s="0" t="s">
        <v>46</v>
      </c>
      <c r="M70" s="0" t="s">
        <v>46</v>
      </c>
      <c r="N70" s="0" t="s">
        <v>46</v>
      </c>
    </row>
    <row r="71" customFormat="false" ht="15" hidden="false" customHeight="false" outlineLevel="0" collapsed="false">
      <c r="A71" s="0" t="s">
        <v>3383</v>
      </c>
      <c r="B71" s="0" t="s">
        <v>1911</v>
      </c>
      <c r="C71" s="0" t="s">
        <v>1912</v>
      </c>
      <c r="D71" s="0" t="s">
        <v>46</v>
      </c>
      <c r="E71" s="0" t="s">
        <v>46</v>
      </c>
      <c r="F71" s="0" t="s">
        <v>46</v>
      </c>
      <c r="G71" s="0" t="s">
        <v>3384</v>
      </c>
      <c r="H71" s="0" t="s">
        <v>3385</v>
      </c>
      <c r="I71" s="0" t="s">
        <v>46</v>
      </c>
      <c r="J71" s="0" t="s">
        <v>46</v>
      </c>
      <c r="K71" s="0" t="s">
        <v>46</v>
      </c>
      <c r="L71" s="0" t="s">
        <v>46</v>
      </c>
      <c r="M71" s="0" t="s">
        <v>46</v>
      </c>
      <c r="N71" s="0" t="s">
        <v>46</v>
      </c>
    </row>
    <row r="72" customFormat="false" ht="15" hidden="false" customHeight="false" outlineLevel="0" collapsed="false">
      <c r="A72" s="0" t="s">
        <v>3386</v>
      </c>
      <c r="B72" s="0" t="s">
        <v>1921</v>
      </c>
      <c r="C72" s="0" t="s">
        <v>1922</v>
      </c>
      <c r="D72" s="0" t="s">
        <v>46</v>
      </c>
      <c r="E72" s="0" t="s">
        <v>46</v>
      </c>
      <c r="F72" s="0" t="s">
        <v>46</v>
      </c>
      <c r="G72" s="0" t="s">
        <v>46</v>
      </c>
      <c r="H72" s="0" t="s">
        <v>46</v>
      </c>
      <c r="I72" s="0" t="s">
        <v>46</v>
      </c>
      <c r="J72" s="0" t="s">
        <v>46</v>
      </c>
      <c r="K72" s="0" t="s">
        <v>46</v>
      </c>
      <c r="L72" s="0" t="s">
        <v>46</v>
      </c>
      <c r="M72" s="0" t="s">
        <v>46</v>
      </c>
      <c r="N72" s="0" t="s">
        <v>46</v>
      </c>
    </row>
    <row r="73" customFormat="false" ht="15" hidden="false" customHeight="false" outlineLevel="0" collapsed="false">
      <c r="A73" s="0" t="s">
        <v>3387</v>
      </c>
      <c r="B73" s="0" t="s">
        <v>1028</v>
      </c>
      <c r="C73" s="0" t="s">
        <v>1029</v>
      </c>
      <c r="D73" s="0" t="s">
        <v>1030</v>
      </c>
      <c r="E73" s="0" t="s">
        <v>46</v>
      </c>
      <c r="F73" s="0" t="s">
        <v>3388</v>
      </c>
      <c r="G73" s="0" t="s">
        <v>3389</v>
      </c>
      <c r="H73" s="0" t="s">
        <v>3390</v>
      </c>
      <c r="I73" s="0" t="s">
        <v>46</v>
      </c>
      <c r="J73" s="0" t="s">
        <v>46</v>
      </c>
      <c r="K73" s="0" t="s">
        <v>46</v>
      </c>
      <c r="L73" s="0" t="s">
        <v>46</v>
      </c>
      <c r="M73" s="0" t="s">
        <v>46</v>
      </c>
      <c r="N73" s="0" t="s">
        <v>46</v>
      </c>
    </row>
    <row r="74" customFormat="false" ht="15" hidden="false" customHeight="false" outlineLevel="0" collapsed="false">
      <c r="A74" s="0" t="s">
        <v>3391</v>
      </c>
      <c r="B74" s="0" t="s">
        <v>943</v>
      </c>
      <c r="C74" s="0" t="s">
        <v>944</v>
      </c>
      <c r="D74" s="0" t="s">
        <v>945</v>
      </c>
      <c r="E74" s="0" t="s">
        <v>46</v>
      </c>
      <c r="F74" s="0" t="s">
        <v>46</v>
      </c>
      <c r="G74" s="0" t="s">
        <v>3392</v>
      </c>
      <c r="H74" s="0" t="s">
        <v>46</v>
      </c>
      <c r="I74" s="0" t="s">
        <v>46</v>
      </c>
      <c r="J74" s="0" t="s">
        <v>46</v>
      </c>
      <c r="K74" s="0" t="s">
        <v>46</v>
      </c>
      <c r="L74" s="0" t="s">
        <v>46</v>
      </c>
      <c r="M74" s="0" t="s">
        <v>46</v>
      </c>
      <c r="N74" s="0" t="s">
        <v>46</v>
      </c>
    </row>
    <row r="75" customFormat="false" ht="15" hidden="false" customHeight="false" outlineLevel="0" collapsed="false">
      <c r="A75" s="0" t="s">
        <v>3393</v>
      </c>
      <c r="B75" s="0" t="s">
        <v>1161</v>
      </c>
      <c r="C75" s="0" t="s">
        <v>1162</v>
      </c>
      <c r="D75" s="0" t="s">
        <v>46</v>
      </c>
      <c r="E75" s="0" t="s">
        <v>46</v>
      </c>
      <c r="F75" s="0" t="s">
        <v>3394</v>
      </c>
      <c r="G75" s="0" t="s">
        <v>46</v>
      </c>
      <c r="H75" s="0" t="s">
        <v>46</v>
      </c>
      <c r="I75" s="0" t="s">
        <v>46</v>
      </c>
      <c r="J75" s="0" t="s">
        <v>46</v>
      </c>
      <c r="K75" s="0" t="s">
        <v>46</v>
      </c>
      <c r="L75" s="0" t="s">
        <v>46</v>
      </c>
      <c r="M75" s="0" t="s">
        <v>46</v>
      </c>
      <c r="N75" s="0" t="s">
        <v>46</v>
      </c>
    </row>
    <row r="76" customFormat="false" ht="15" hidden="false" customHeight="false" outlineLevel="0" collapsed="false">
      <c r="A76" s="0" t="s">
        <v>3395</v>
      </c>
      <c r="B76" s="0" t="s">
        <v>3048</v>
      </c>
      <c r="C76" s="0" t="s">
        <v>3049</v>
      </c>
      <c r="D76" s="0" t="s">
        <v>3050</v>
      </c>
      <c r="E76" s="0" t="s">
        <v>3051</v>
      </c>
      <c r="F76" s="0" t="s">
        <v>3396</v>
      </c>
      <c r="G76" s="0" t="s">
        <v>3397</v>
      </c>
      <c r="H76" s="0" t="s">
        <v>3398</v>
      </c>
      <c r="I76" s="0" t="str">
        <f aca="false">HYPERLINK("https://omim.org/entry/616452", "616452")</f>
        <v>616452</v>
      </c>
      <c r="J76" s="0" t="str">
        <f aca="false">HYPERLINK("https://omim.org/entry/615206", "615206")</f>
        <v>615206</v>
      </c>
      <c r="K76" s="0" t="s">
        <v>46</v>
      </c>
      <c r="L76" s="0" t="s">
        <v>46</v>
      </c>
      <c r="M76" s="0" t="s">
        <v>46</v>
      </c>
      <c r="N76" s="0" t="s">
        <v>46</v>
      </c>
    </row>
    <row r="77" customFormat="false" ht="15" hidden="false" customHeight="false" outlineLevel="0" collapsed="false">
      <c r="A77" s="0" t="s">
        <v>3399</v>
      </c>
      <c r="B77" s="0" t="s">
        <v>1288</v>
      </c>
      <c r="C77" s="0" t="s">
        <v>1289</v>
      </c>
      <c r="D77" s="0" t="s">
        <v>1290</v>
      </c>
      <c r="E77" s="0" t="s">
        <v>46</v>
      </c>
      <c r="F77" s="0" t="s">
        <v>3400</v>
      </c>
      <c r="G77" s="0" t="s">
        <v>3401</v>
      </c>
      <c r="H77" s="0" t="s">
        <v>3402</v>
      </c>
      <c r="I77" s="0" t="s">
        <v>46</v>
      </c>
      <c r="J77" s="0" t="s">
        <v>46</v>
      </c>
      <c r="K77" s="0" t="s">
        <v>46</v>
      </c>
      <c r="L77" s="0" t="s">
        <v>46</v>
      </c>
      <c r="M77" s="0" t="s">
        <v>46</v>
      </c>
      <c r="N77" s="0" t="s">
        <v>46</v>
      </c>
    </row>
    <row r="78" customFormat="false" ht="15" hidden="false" customHeight="false" outlineLevel="0" collapsed="false">
      <c r="A78" s="0" t="s">
        <v>3403</v>
      </c>
      <c r="B78" s="0" t="s">
        <v>1144</v>
      </c>
      <c r="C78" s="0" t="s">
        <v>1145</v>
      </c>
      <c r="D78" s="0" t="s">
        <v>46</v>
      </c>
      <c r="E78" s="0" t="s">
        <v>46</v>
      </c>
      <c r="F78" s="0" t="s">
        <v>46</v>
      </c>
      <c r="G78" s="0" t="s">
        <v>3404</v>
      </c>
      <c r="H78" s="0" t="s">
        <v>3405</v>
      </c>
      <c r="I78" s="0" t="s">
        <v>46</v>
      </c>
      <c r="J78" s="0" t="s">
        <v>46</v>
      </c>
      <c r="K78" s="0" t="s">
        <v>46</v>
      </c>
      <c r="L78" s="0" t="s">
        <v>46</v>
      </c>
      <c r="M78" s="0" t="s">
        <v>46</v>
      </c>
      <c r="N78" s="0" t="s">
        <v>46</v>
      </c>
    </row>
    <row r="79" customFormat="false" ht="15" hidden="false" customHeight="false" outlineLevel="0" collapsed="false">
      <c r="A79" s="0" t="s">
        <v>3406</v>
      </c>
      <c r="B79" s="0" t="s">
        <v>46</v>
      </c>
      <c r="C79" s="0" t="s">
        <v>1523</v>
      </c>
      <c r="D79" s="0" t="s">
        <v>1524</v>
      </c>
      <c r="E79" s="0" t="s">
        <v>46</v>
      </c>
      <c r="F79" s="0" t="s">
        <v>3407</v>
      </c>
      <c r="G79" s="0" t="s">
        <v>46</v>
      </c>
      <c r="H79" s="0" t="s">
        <v>46</v>
      </c>
      <c r="I79" s="0" t="s">
        <v>46</v>
      </c>
      <c r="J79" s="0" t="s">
        <v>46</v>
      </c>
      <c r="K79" s="0" t="s">
        <v>46</v>
      </c>
      <c r="L79" s="0" t="s">
        <v>46</v>
      </c>
      <c r="M79" s="0" t="s">
        <v>46</v>
      </c>
      <c r="N79" s="0" t="s">
        <v>46</v>
      </c>
    </row>
    <row r="80" customFormat="false" ht="15" hidden="false" customHeight="false" outlineLevel="0" collapsed="false">
      <c r="A80" s="0" t="s">
        <v>3408</v>
      </c>
      <c r="B80" s="0" t="s">
        <v>1264</v>
      </c>
      <c r="C80" s="0" t="s">
        <v>1265</v>
      </c>
      <c r="D80" s="0" t="s">
        <v>1266</v>
      </c>
      <c r="E80" s="0" t="s">
        <v>1267</v>
      </c>
      <c r="F80" s="0" t="s">
        <v>3409</v>
      </c>
      <c r="G80" s="0" t="s">
        <v>3410</v>
      </c>
      <c r="H80" s="0" t="s">
        <v>46</v>
      </c>
      <c r="I80" s="0" t="s">
        <v>46</v>
      </c>
      <c r="J80" s="0" t="s">
        <v>46</v>
      </c>
      <c r="K80" s="0" t="s">
        <v>46</v>
      </c>
      <c r="L80" s="0" t="s">
        <v>46</v>
      </c>
      <c r="M80" s="0" t="s">
        <v>46</v>
      </c>
      <c r="N80" s="0" t="s">
        <v>46</v>
      </c>
    </row>
    <row r="81" customFormat="false" ht="15" hidden="false" customHeight="false" outlineLevel="0" collapsed="false">
      <c r="A81" s="0" t="s">
        <v>3411</v>
      </c>
      <c r="B81" s="0" t="s">
        <v>3130</v>
      </c>
      <c r="C81" s="0" t="s">
        <v>3131</v>
      </c>
      <c r="D81" s="0" t="s">
        <v>46</v>
      </c>
      <c r="E81" s="0" t="s">
        <v>46</v>
      </c>
      <c r="F81" s="0" t="s">
        <v>46</v>
      </c>
      <c r="G81" s="0" t="s">
        <v>46</v>
      </c>
      <c r="H81" s="0" t="s">
        <v>46</v>
      </c>
      <c r="I81" s="0" t="s">
        <v>46</v>
      </c>
      <c r="J81" s="0" t="s">
        <v>46</v>
      </c>
      <c r="K81" s="0" t="s">
        <v>46</v>
      </c>
      <c r="L81" s="0" t="s">
        <v>46</v>
      </c>
      <c r="M81" s="0" t="s">
        <v>46</v>
      </c>
      <c r="N81" s="0" t="s">
        <v>46</v>
      </c>
    </row>
    <row r="82" customFormat="false" ht="15" hidden="false" customHeight="false" outlineLevel="0" collapsed="false">
      <c r="A82" s="0" t="s">
        <v>3412</v>
      </c>
      <c r="B82" s="0" t="s">
        <v>46</v>
      </c>
      <c r="C82" s="0" t="s">
        <v>1680</v>
      </c>
      <c r="D82" s="0" t="s">
        <v>46</v>
      </c>
      <c r="E82" s="0" t="s">
        <v>46</v>
      </c>
      <c r="F82" s="0" t="s">
        <v>46</v>
      </c>
      <c r="G82" s="0" t="s">
        <v>46</v>
      </c>
      <c r="H82" s="0" t="s">
        <v>46</v>
      </c>
      <c r="I82" s="0" t="s">
        <v>46</v>
      </c>
      <c r="J82" s="0" t="s">
        <v>46</v>
      </c>
      <c r="K82" s="0" t="s">
        <v>46</v>
      </c>
      <c r="L82" s="0" t="s">
        <v>46</v>
      </c>
      <c r="M82" s="0" t="s">
        <v>46</v>
      </c>
      <c r="N82" s="0" t="s">
        <v>46</v>
      </c>
    </row>
    <row r="83" customFormat="false" ht="15" hidden="false" customHeight="false" outlineLevel="0" collapsed="false">
      <c r="A83" s="0" t="s">
        <v>3413</v>
      </c>
      <c r="B83" s="0" t="s">
        <v>2223</v>
      </c>
      <c r="C83" s="0" t="s">
        <v>2224</v>
      </c>
      <c r="D83" s="0" t="s">
        <v>2225</v>
      </c>
      <c r="E83" s="0" t="s">
        <v>46</v>
      </c>
      <c r="F83" s="0" t="s">
        <v>3414</v>
      </c>
      <c r="G83" s="0" t="s">
        <v>3415</v>
      </c>
      <c r="H83" s="0" t="s">
        <v>46</v>
      </c>
      <c r="I83" s="0" t="s">
        <v>46</v>
      </c>
      <c r="J83" s="0" t="s">
        <v>46</v>
      </c>
      <c r="K83" s="0" t="s">
        <v>46</v>
      </c>
      <c r="L83" s="0" t="s">
        <v>46</v>
      </c>
      <c r="M83" s="0" t="s">
        <v>46</v>
      </c>
      <c r="N83" s="0" t="s">
        <v>46</v>
      </c>
    </row>
    <row r="84" customFormat="false" ht="15" hidden="false" customHeight="false" outlineLevel="0" collapsed="false">
      <c r="A84" s="0" t="s">
        <v>3416</v>
      </c>
      <c r="B84" s="0" t="s">
        <v>2427</v>
      </c>
      <c r="C84" s="0" t="s">
        <v>2428</v>
      </c>
      <c r="D84" s="0" t="s">
        <v>46</v>
      </c>
      <c r="E84" s="0" t="s">
        <v>46</v>
      </c>
      <c r="F84" s="0" t="s">
        <v>46</v>
      </c>
      <c r="G84" s="0" t="s">
        <v>3417</v>
      </c>
      <c r="H84" s="0" t="s">
        <v>46</v>
      </c>
      <c r="I84" s="0" t="s">
        <v>46</v>
      </c>
      <c r="J84" s="0" t="s">
        <v>46</v>
      </c>
      <c r="K84" s="0" t="s">
        <v>46</v>
      </c>
      <c r="L84" s="0" t="s">
        <v>46</v>
      </c>
      <c r="M84" s="0" t="s">
        <v>46</v>
      </c>
      <c r="N84" s="0" t="s">
        <v>46</v>
      </c>
    </row>
    <row r="85" customFormat="false" ht="15" hidden="false" customHeight="false" outlineLevel="0" collapsed="false">
      <c r="A85" s="0" t="s">
        <v>3418</v>
      </c>
      <c r="B85" s="0" t="s">
        <v>1809</v>
      </c>
      <c r="C85" s="0" t="s">
        <v>1810</v>
      </c>
      <c r="D85" s="0" t="s">
        <v>1811</v>
      </c>
      <c r="E85" s="0" t="s">
        <v>46</v>
      </c>
      <c r="F85" s="0" t="s">
        <v>3419</v>
      </c>
      <c r="G85" s="0" t="s">
        <v>46</v>
      </c>
      <c r="H85" s="0" t="s">
        <v>46</v>
      </c>
      <c r="I85" s="0" t="s">
        <v>46</v>
      </c>
      <c r="J85" s="0" t="s">
        <v>46</v>
      </c>
      <c r="K85" s="0" t="s">
        <v>46</v>
      </c>
      <c r="L85" s="0" t="s">
        <v>46</v>
      </c>
      <c r="M85" s="0" t="s">
        <v>46</v>
      </c>
      <c r="N85" s="0" t="s">
        <v>46</v>
      </c>
    </row>
    <row r="86" customFormat="false" ht="15" hidden="false" customHeight="false" outlineLevel="0" collapsed="false">
      <c r="A86" s="0" t="s">
        <v>3420</v>
      </c>
      <c r="B86" s="0" t="s">
        <v>1404</v>
      </c>
      <c r="C86" s="0" t="s">
        <v>1405</v>
      </c>
      <c r="D86" s="0" t="s">
        <v>1406</v>
      </c>
      <c r="E86" s="0" t="s">
        <v>46</v>
      </c>
      <c r="F86" s="0" t="s">
        <v>46</v>
      </c>
      <c r="G86" s="0" t="s">
        <v>3421</v>
      </c>
      <c r="H86" s="0" t="s">
        <v>3422</v>
      </c>
      <c r="I86" s="0" t="s">
        <v>46</v>
      </c>
      <c r="J86" s="0" t="s">
        <v>46</v>
      </c>
      <c r="K86" s="0" t="s">
        <v>46</v>
      </c>
      <c r="L86" s="0" t="s">
        <v>46</v>
      </c>
      <c r="M86" s="0" t="s">
        <v>46</v>
      </c>
      <c r="N86" s="0" t="s">
        <v>46</v>
      </c>
    </row>
    <row r="87" customFormat="false" ht="15" hidden="false" customHeight="false" outlineLevel="0" collapsed="false">
      <c r="A87" s="0" t="s">
        <v>3423</v>
      </c>
      <c r="B87" s="0" t="s">
        <v>1646</v>
      </c>
      <c r="C87" s="0" t="s">
        <v>1647</v>
      </c>
      <c r="D87" s="0" t="s">
        <v>1648</v>
      </c>
      <c r="E87" s="0" t="s">
        <v>46</v>
      </c>
      <c r="F87" s="0" t="s">
        <v>3424</v>
      </c>
      <c r="G87" s="0" t="s">
        <v>3425</v>
      </c>
      <c r="H87" s="0" t="s">
        <v>46</v>
      </c>
      <c r="I87" s="0" t="s">
        <v>46</v>
      </c>
      <c r="J87" s="0" t="s">
        <v>46</v>
      </c>
      <c r="K87" s="0" t="s">
        <v>46</v>
      </c>
      <c r="L87" s="0" t="s">
        <v>46</v>
      </c>
      <c r="M87" s="0" t="s">
        <v>46</v>
      </c>
      <c r="N87" s="0" t="s">
        <v>46</v>
      </c>
    </row>
    <row r="88" customFormat="false" ht="15" hidden="false" customHeight="false" outlineLevel="0" collapsed="false">
      <c r="A88" s="0" t="s">
        <v>3426</v>
      </c>
      <c r="B88" s="0" t="s">
        <v>2544</v>
      </c>
      <c r="C88" s="0" t="s">
        <v>2545</v>
      </c>
      <c r="D88" s="0" t="s">
        <v>2546</v>
      </c>
      <c r="E88" s="0" t="s">
        <v>2547</v>
      </c>
      <c r="F88" s="0" t="s">
        <v>3427</v>
      </c>
      <c r="G88" s="0" t="s">
        <v>3428</v>
      </c>
      <c r="H88" s="0" t="s">
        <v>3429</v>
      </c>
      <c r="I88" s="0" t="str">
        <f aca="false">HYPERLINK("https://omim.org/entry/601553", "601553")</f>
        <v>601553</v>
      </c>
      <c r="J88" s="0" t="str">
        <f aca="false">HYPERLINK("https://omim.org/entry/225280", "225280")</f>
        <v>225280</v>
      </c>
      <c r="K88" s="0" t="s">
        <v>46</v>
      </c>
      <c r="L88" s="0" t="s">
        <v>46</v>
      </c>
      <c r="M88" s="0" t="s">
        <v>46</v>
      </c>
      <c r="N88" s="0" t="s">
        <v>46</v>
      </c>
    </row>
    <row r="89" customFormat="false" ht="15" hidden="false" customHeight="false" outlineLevel="0" collapsed="false">
      <c r="A89" s="0" t="s">
        <v>3430</v>
      </c>
      <c r="B89" s="0" t="s">
        <v>2903</v>
      </c>
      <c r="C89" s="0" t="s">
        <v>2904</v>
      </c>
      <c r="D89" s="0" t="s">
        <v>2905</v>
      </c>
      <c r="E89" s="0" t="s">
        <v>46</v>
      </c>
      <c r="F89" s="0" t="s">
        <v>46</v>
      </c>
      <c r="G89" s="0" t="s">
        <v>3431</v>
      </c>
      <c r="H89" s="0" t="s">
        <v>46</v>
      </c>
      <c r="I89" s="0" t="s">
        <v>46</v>
      </c>
      <c r="J89" s="0" t="s">
        <v>46</v>
      </c>
      <c r="K89" s="0" t="s">
        <v>46</v>
      </c>
      <c r="L89" s="0" t="s">
        <v>46</v>
      </c>
      <c r="M89" s="0" t="s">
        <v>46</v>
      </c>
      <c r="N89" s="0" t="s">
        <v>46</v>
      </c>
    </row>
    <row r="90" customFormat="false" ht="15" hidden="false" customHeight="false" outlineLevel="0" collapsed="false">
      <c r="A90" s="0" t="s">
        <v>3432</v>
      </c>
      <c r="B90" s="0" t="s">
        <v>2319</v>
      </c>
      <c r="C90" s="0" t="s">
        <v>2320</v>
      </c>
      <c r="D90" s="0" t="s">
        <v>2321</v>
      </c>
      <c r="E90" s="0" t="s">
        <v>46</v>
      </c>
      <c r="F90" s="0" t="s">
        <v>3433</v>
      </c>
      <c r="G90" s="0" t="s">
        <v>3434</v>
      </c>
      <c r="H90" s="0" t="s">
        <v>3435</v>
      </c>
      <c r="I90" s="0" t="s">
        <v>46</v>
      </c>
      <c r="J90" s="0" t="s">
        <v>46</v>
      </c>
      <c r="K90" s="0" t="s">
        <v>46</v>
      </c>
      <c r="L90" s="0" t="s">
        <v>46</v>
      </c>
      <c r="M90" s="0" t="s">
        <v>46</v>
      </c>
      <c r="N90" s="0" t="s">
        <v>46</v>
      </c>
    </row>
    <row r="91" customFormat="false" ht="15" hidden="false" customHeight="false" outlineLevel="0" collapsed="false">
      <c r="A91" s="0" t="s">
        <v>3436</v>
      </c>
      <c r="B91" s="0" t="s">
        <v>2248</v>
      </c>
      <c r="C91" s="0" t="s">
        <v>2249</v>
      </c>
      <c r="D91" s="0" t="s">
        <v>2250</v>
      </c>
      <c r="E91" s="0" t="s">
        <v>46</v>
      </c>
      <c r="F91" s="0" t="s">
        <v>3437</v>
      </c>
      <c r="G91" s="0" t="s">
        <v>3438</v>
      </c>
      <c r="H91" s="0" t="s">
        <v>3439</v>
      </c>
      <c r="I91" s="0" t="s">
        <v>46</v>
      </c>
      <c r="J91" s="0" t="s">
        <v>46</v>
      </c>
      <c r="K91" s="0" t="s">
        <v>46</v>
      </c>
      <c r="L91" s="0" t="s">
        <v>46</v>
      </c>
      <c r="M91" s="0" t="s">
        <v>46</v>
      </c>
      <c r="N91" s="0" t="s">
        <v>46</v>
      </c>
    </row>
    <row r="92" customFormat="false" ht="15" hidden="false" customHeight="false" outlineLevel="0" collapsed="false">
      <c r="A92" s="0" t="s">
        <v>3440</v>
      </c>
      <c r="B92" s="0" t="s">
        <v>2037</v>
      </c>
      <c r="C92" s="0" t="s">
        <v>2038</v>
      </c>
      <c r="D92" s="0" t="s">
        <v>2039</v>
      </c>
      <c r="E92" s="0" t="s">
        <v>2040</v>
      </c>
      <c r="F92" s="0" t="s">
        <v>3441</v>
      </c>
      <c r="G92" s="0" t="s">
        <v>46</v>
      </c>
      <c r="H92" s="0" t="s">
        <v>46</v>
      </c>
      <c r="I92" s="0" t="str">
        <f aca="false">HYPERLINK("https://omim.org/entry/146520", "146520")</f>
        <v>146520</v>
      </c>
      <c r="J92" s="0" t="str">
        <f aca="false">HYPERLINK("https://omim.org/entry/270300", "270300")</f>
        <v>270300</v>
      </c>
      <c r="K92" s="0" t="s">
        <v>46</v>
      </c>
      <c r="L92" s="0" t="s">
        <v>46</v>
      </c>
      <c r="M92" s="0" t="s">
        <v>46</v>
      </c>
      <c r="N92" s="0" t="s">
        <v>46</v>
      </c>
    </row>
    <row r="93" customFormat="false" ht="15" hidden="false" customHeight="false" outlineLevel="0" collapsed="false">
      <c r="A93" s="0" t="s">
        <v>3442</v>
      </c>
      <c r="B93" s="0" t="s">
        <v>1694</v>
      </c>
      <c r="C93" s="0" t="s">
        <v>1695</v>
      </c>
      <c r="D93" s="0" t="s">
        <v>46</v>
      </c>
      <c r="E93" s="0" t="s">
        <v>46</v>
      </c>
      <c r="F93" s="0" t="s">
        <v>3443</v>
      </c>
      <c r="G93" s="0" t="s">
        <v>3444</v>
      </c>
      <c r="H93" s="0" t="s">
        <v>3445</v>
      </c>
      <c r="I93" s="0" t="s">
        <v>46</v>
      </c>
      <c r="J93" s="0" t="s">
        <v>46</v>
      </c>
      <c r="K93" s="0" t="s">
        <v>46</v>
      </c>
      <c r="L93" s="0" t="s">
        <v>46</v>
      </c>
      <c r="M93" s="0" t="s">
        <v>46</v>
      </c>
      <c r="N93" s="0" t="s">
        <v>46</v>
      </c>
    </row>
    <row r="94" customFormat="false" ht="15" hidden="false" customHeight="false" outlineLevel="0" collapsed="false">
      <c r="A94" s="0" t="s">
        <v>3446</v>
      </c>
      <c r="B94" s="0" t="s">
        <v>416</v>
      </c>
      <c r="C94" s="0" t="s">
        <v>417</v>
      </c>
      <c r="D94" s="0" t="s">
        <v>418</v>
      </c>
      <c r="E94" s="0" t="s">
        <v>419</v>
      </c>
      <c r="F94" s="0" t="s">
        <v>46</v>
      </c>
      <c r="G94" s="0" t="s">
        <v>3447</v>
      </c>
      <c r="H94" s="0" t="s">
        <v>46</v>
      </c>
      <c r="I94" s="0" t="str">
        <f aca="false">HYPERLINK("https://omim.org/entry/616300", "616300")</f>
        <v>616300</v>
      </c>
      <c r="J94" s="0" t="s">
        <v>46</v>
      </c>
      <c r="K94" s="0" t="s">
        <v>46</v>
      </c>
      <c r="L94" s="0" t="s">
        <v>46</v>
      </c>
      <c r="M94" s="0" t="s">
        <v>46</v>
      </c>
      <c r="N94" s="0" t="s">
        <v>46</v>
      </c>
    </row>
    <row r="95" customFormat="false" ht="15" hidden="false" customHeight="false" outlineLevel="0" collapsed="false">
      <c r="A95" s="0" t="s">
        <v>3448</v>
      </c>
      <c r="B95" s="0" t="s">
        <v>2368</v>
      </c>
      <c r="C95" s="0" t="s">
        <v>2369</v>
      </c>
      <c r="D95" s="0" t="s">
        <v>2370</v>
      </c>
      <c r="E95" s="0" t="s">
        <v>2371</v>
      </c>
      <c r="F95" s="0" t="s">
        <v>3449</v>
      </c>
      <c r="G95" s="0" t="s">
        <v>3450</v>
      </c>
      <c r="H95" s="0" t="s">
        <v>3451</v>
      </c>
      <c r="I95" s="0" t="str">
        <f aca="false">HYPERLINK("https://omim.org/entry/614845", "614845")</f>
        <v>614845</v>
      </c>
      <c r="J95" s="0" t="s">
        <v>46</v>
      </c>
      <c r="K95" s="0" t="s">
        <v>46</v>
      </c>
      <c r="L95" s="0" t="s">
        <v>46</v>
      </c>
      <c r="M95" s="0" t="s">
        <v>46</v>
      </c>
      <c r="N95" s="0" t="s">
        <v>46</v>
      </c>
    </row>
    <row r="96" customFormat="false" ht="15" hidden="false" customHeight="false" outlineLevel="0" collapsed="false">
      <c r="A96" s="0" t="s">
        <v>3452</v>
      </c>
      <c r="B96" s="0" t="s">
        <v>3453</v>
      </c>
      <c r="C96" s="0" t="s">
        <v>3454</v>
      </c>
      <c r="D96" s="0" t="s">
        <v>3455</v>
      </c>
      <c r="E96" s="0" t="s">
        <v>2924</v>
      </c>
      <c r="F96" s="0" t="s">
        <v>46</v>
      </c>
      <c r="G96" s="0" t="s">
        <v>3456</v>
      </c>
      <c r="H96" s="0" t="s">
        <v>3457</v>
      </c>
      <c r="I96" s="0" t="str">
        <f aca="false">HYPERLINK("https://omim.org/entry/614728", "614728")</f>
        <v>614728</v>
      </c>
      <c r="J96" s="0" t="s">
        <v>46</v>
      </c>
      <c r="K96" s="0" t="s">
        <v>46</v>
      </c>
      <c r="L96" s="0" t="s">
        <v>46</v>
      </c>
      <c r="M96" s="0" t="s">
        <v>46</v>
      </c>
      <c r="N96" s="0" t="s">
        <v>46</v>
      </c>
    </row>
    <row r="97" customFormat="false" ht="15" hidden="false" customHeight="false" outlineLevel="0" collapsed="false">
      <c r="A97" s="0" t="s">
        <v>3458</v>
      </c>
      <c r="B97" s="0" t="s">
        <v>1762</v>
      </c>
      <c r="C97" s="0" t="s">
        <v>1763</v>
      </c>
      <c r="D97" s="0" t="s">
        <v>1764</v>
      </c>
      <c r="E97" s="0" t="s">
        <v>46</v>
      </c>
      <c r="F97" s="0" t="s">
        <v>46</v>
      </c>
      <c r="G97" s="0" t="s">
        <v>3459</v>
      </c>
      <c r="H97" s="0" t="s">
        <v>3460</v>
      </c>
      <c r="I97" s="0" t="s">
        <v>46</v>
      </c>
      <c r="J97" s="0" t="s">
        <v>46</v>
      </c>
      <c r="K97" s="0" t="s">
        <v>46</v>
      </c>
      <c r="L97" s="0" t="s">
        <v>46</v>
      </c>
      <c r="M97" s="0" t="s">
        <v>46</v>
      </c>
      <c r="N97" s="0" t="s">
        <v>46</v>
      </c>
    </row>
    <row r="98" customFormat="false" ht="15" hidden="false" customHeight="false" outlineLevel="0" collapsed="false">
      <c r="A98" s="0" t="s">
        <v>3461</v>
      </c>
      <c r="B98" s="0" t="s">
        <v>46</v>
      </c>
      <c r="C98" s="0" t="s">
        <v>1690</v>
      </c>
      <c r="D98" s="0" t="s">
        <v>46</v>
      </c>
      <c r="E98" s="0" t="s">
        <v>46</v>
      </c>
      <c r="F98" s="0" t="s">
        <v>46</v>
      </c>
      <c r="G98" s="0" t="s">
        <v>46</v>
      </c>
      <c r="H98" s="0" t="s">
        <v>46</v>
      </c>
      <c r="I98" s="0" t="s">
        <v>46</v>
      </c>
      <c r="J98" s="0" t="s">
        <v>46</v>
      </c>
      <c r="K98" s="0" t="s">
        <v>46</v>
      </c>
      <c r="L98" s="0" t="s">
        <v>46</v>
      </c>
      <c r="M98" s="0" t="s">
        <v>46</v>
      </c>
      <c r="N98" s="0" t="s">
        <v>46</v>
      </c>
    </row>
    <row r="99" customFormat="false" ht="15" hidden="false" customHeight="false" outlineLevel="0" collapsed="false">
      <c r="A99" s="0" t="s">
        <v>3462</v>
      </c>
      <c r="B99" s="0" t="s">
        <v>1561</v>
      </c>
      <c r="C99" s="0" t="s">
        <v>1562</v>
      </c>
      <c r="D99" s="0" t="s">
        <v>1563</v>
      </c>
      <c r="E99" s="0" t="s">
        <v>46</v>
      </c>
      <c r="F99" s="0" t="s">
        <v>3463</v>
      </c>
      <c r="G99" s="0" t="s">
        <v>3464</v>
      </c>
      <c r="H99" s="0" t="s">
        <v>3465</v>
      </c>
      <c r="I99" s="0" t="s">
        <v>46</v>
      </c>
      <c r="J99" s="0" t="s">
        <v>46</v>
      </c>
      <c r="K99" s="0" t="s">
        <v>46</v>
      </c>
      <c r="L99" s="0" t="s">
        <v>46</v>
      </c>
      <c r="M99" s="0" t="s">
        <v>46</v>
      </c>
      <c r="N99" s="0" t="s">
        <v>46</v>
      </c>
    </row>
    <row r="100" customFormat="false" ht="15" hidden="false" customHeight="false" outlineLevel="0" collapsed="false">
      <c r="A100" s="0" t="s">
        <v>3466</v>
      </c>
      <c r="B100" s="0" t="s">
        <v>474</v>
      </c>
      <c r="C100" s="0" t="s">
        <v>475</v>
      </c>
      <c r="D100" s="0" t="s">
        <v>476</v>
      </c>
      <c r="E100" s="0" t="s">
        <v>46</v>
      </c>
      <c r="F100" s="0" t="s">
        <v>3467</v>
      </c>
      <c r="G100" s="0" t="s">
        <v>3468</v>
      </c>
      <c r="H100" s="0" t="s">
        <v>3469</v>
      </c>
      <c r="I100" s="0" t="s">
        <v>46</v>
      </c>
      <c r="J100" s="0" t="s">
        <v>46</v>
      </c>
      <c r="K100" s="0" t="s">
        <v>46</v>
      </c>
      <c r="L100" s="0" t="s">
        <v>46</v>
      </c>
      <c r="M100" s="0" t="s">
        <v>46</v>
      </c>
      <c r="N100" s="0" t="s">
        <v>46</v>
      </c>
    </row>
    <row r="101" customFormat="false" ht="15" hidden="false" customHeight="false" outlineLevel="0" collapsed="false">
      <c r="A101" s="0" t="s">
        <v>3470</v>
      </c>
      <c r="B101" s="0" t="s">
        <v>3099</v>
      </c>
      <c r="C101" s="0" t="s">
        <v>3100</v>
      </c>
      <c r="D101" s="0" t="s">
        <v>3101</v>
      </c>
      <c r="E101" s="0" t="s">
        <v>46</v>
      </c>
      <c r="F101" s="0" t="s">
        <v>3471</v>
      </c>
      <c r="G101" s="0" t="s">
        <v>3472</v>
      </c>
      <c r="H101" s="0" t="s">
        <v>3473</v>
      </c>
      <c r="I101" s="0" t="s">
        <v>46</v>
      </c>
      <c r="J101" s="0" t="s">
        <v>46</v>
      </c>
      <c r="K101" s="0" t="s">
        <v>46</v>
      </c>
      <c r="L101" s="0" t="s">
        <v>46</v>
      </c>
      <c r="M101" s="0" t="s">
        <v>46</v>
      </c>
      <c r="N101" s="0" t="s">
        <v>46</v>
      </c>
    </row>
    <row r="102" customFormat="false" ht="15" hidden="false" customHeight="false" outlineLevel="0" collapsed="false">
      <c r="A102" s="0" t="s">
        <v>3474</v>
      </c>
      <c r="B102" s="0" t="s">
        <v>403</v>
      </c>
      <c r="C102" s="0" t="s">
        <v>404</v>
      </c>
      <c r="D102" s="0" t="s">
        <v>405</v>
      </c>
      <c r="E102" s="0" t="s">
        <v>46</v>
      </c>
      <c r="F102" s="0" t="s">
        <v>3475</v>
      </c>
      <c r="G102" s="0" t="s">
        <v>3476</v>
      </c>
      <c r="H102" s="0" t="s">
        <v>3477</v>
      </c>
      <c r="I102" s="0" t="s">
        <v>46</v>
      </c>
      <c r="J102" s="0" t="s">
        <v>46</v>
      </c>
      <c r="K102" s="0" t="s">
        <v>46</v>
      </c>
      <c r="L102" s="0" t="s">
        <v>46</v>
      </c>
      <c r="M102" s="0" t="s">
        <v>46</v>
      </c>
      <c r="N102" s="0" t="s">
        <v>46</v>
      </c>
    </row>
    <row r="103" customFormat="false" ht="15" hidden="false" customHeight="false" outlineLevel="0" collapsed="false">
      <c r="A103" s="0" t="s">
        <v>3478</v>
      </c>
      <c r="B103" s="0" t="s">
        <v>3058</v>
      </c>
      <c r="C103" s="0" t="s">
        <v>3059</v>
      </c>
      <c r="D103" s="0" t="s">
        <v>3060</v>
      </c>
      <c r="E103" s="0" t="s">
        <v>46</v>
      </c>
      <c r="F103" s="0" t="s">
        <v>46</v>
      </c>
      <c r="G103" s="0" t="s">
        <v>3479</v>
      </c>
      <c r="H103" s="0" t="s">
        <v>3480</v>
      </c>
      <c r="I103" s="0" t="s">
        <v>46</v>
      </c>
      <c r="J103" s="0" t="s">
        <v>46</v>
      </c>
      <c r="K103" s="0" t="s">
        <v>46</v>
      </c>
      <c r="L103" s="0" t="s">
        <v>46</v>
      </c>
      <c r="M103" s="0" t="s">
        <v>46</v>
      </c>
      <c r="N103" s="0" t="s">
        <v>46</v>
      </c>
    </row>
    <row r="104" customFormat="false" ht="15" hidden="false" customHeight="false" outlineLevel="0" collapsed="false">
      <c r="A104" s="0" t="s">
        <v>3481</v>
      </c>
      <c r="B104" s="0" t="s">
        <v>2950</v>
      </c>
      <c r="C104" s="0" t="s">
        <v>2951</v>
      </c>
      <c r="D104" s="0" t="s">
        <v>2952</v>
      </c>
      <c r="E104" s="0" t="s">
        <v>2953</v>
      </c>
      <c r="F104" s="0" t="s">
        <v>3482</v>
      </c>
      <c r="G104" s="0" t="s">
        <v>3483</v>
      </c>
      <c r="H104" s="0" t="s">
        <v>46</v>
      </c>
      <c r="I104" s="0" t="str">
        <f aca="false">HYPERLINK("https://omim.org/entry/616219", "616219")</f>
        <v>616219</v>
      </c>
      <c r="J104" s="0" t="s">
        <v>46</v>
      </c>
      <c r="K104" s="0" t="s">
        <v>46</v>
      </c>
      <c r="L104" s="0" t="s">
        <v>46</v>
      </c>
      <c r="M104" s="0" t="s">
        <v>46</v>
      </c>
      <c r="N104" s="0" t="s">
        <v>46</v>
      </c>
    </row>
    <row r="105" customFormat="false" ht="15" hidden="false" customHeight="false" outlineLevel="0" collapsed="false">
      <c r="A105" s="0" t="s">
        <v>3484</v>
      </c>
      <c r="B105" s="0" t="s">
        <v>2042</v>
      </c>
      <c r="C105" s="0" t="s">
        <v>2043</v>
      </c>
      <c r="D105" s="0" t="s">
        <v>2044</v>
      </c>
      <c r="E105" s="0" t="s">
        <v>46</v>
      </c>
      <c r="F105" s="0" t="s">
        <v>3485</v>
      </c>
      <c r="G105" s="0" t="s">
        <v>3486</v>
      </c>
      <c r="H105" s="0" t="s">
        <v>3487</v>
      </c>
      <c r="I105" s="0" t="s">
        <v>46</v>
      </c>
      <c r="J105" s="0" t="s">
        <v>46</v>
      </c>
      <c r="K105" s="0" t="s">
        <v>46</v>
      </c>
      <c r="L105" s="0" t="s">
        <v>46</v>
      </c>
      <c r="M105" s="0" t="s">
        <v>46</v>
      </c>
      <c r="N105" s="0" t="s">
        <v>46</v>
      </c>
    </row>
    <row r="106" customFormat="false" ht="15" hidden="false" customHeight="false" outlineLevel="0" collapsed="false">
      <c r="A106" s="0" t="s">
        <v>3488</v>
      </c>
      <c r="B106" s="0" t="s">
        <v>1422</v>
      </c>
      <c r="C106" s="0" t="s">
        <v>1423</v>
      </c>
      <c r="D106" s="0" t="s">
        <v>1424</v>
      </c>
      <c r="E106" s="0" t="s">
        <v>46</v>
      </c>
      <c r="F106" s="0" t="s">
        <v>3489</v>
      </c>
      <c r="G106" s="0" t="s">
        <v>3490</v>
      </c>
      <c r="H106" s="0" t="s">
        <v>46</v>
      </c>
      <c r="I106" s="0" t="s">
        <v>46</v>
      </c>
      <c r="J106" s="0" t="s">
        <v>46</v>
      </c>
      <c r="K106" s="0" t="s">
        <v>46</v>
      </c>
      <c r="L106" s="0" t="s">
        <v>46</v>
      </c>
      <c r="M106" s="0" t="s">
        <v>46</v>
      </c>
      <c r="N106" s="0" t="s">
        <v>46</v>
      </c>
    </row>
    <row r="107" customFormat="false" ht="15" hidden="false" customHeight="false" outlineLevel="0" collapsed="false">
      <c r="A107" s="0" t="s">
        <v>3491</v>
      </c>
      <c r="B107" s="0" t="s">
        <v>2208</v>
      </c>
      <c r="C107" s="0" t="s">
        <v>2209</v>
      </c>
      <c r="D107" s="0" t="s">
        <v>2210</v>
      </c>
      <c r="E107" s="0" t="s">
        <v>2211</v>
      </c>
      <c r="F107" s="0" t="s">
        <v>3236</v>
      </c>
      <c r="G107" s="0" t="s">
        <v>3492</v>
      </c>
      <c r="H107" s="0" t="s">
        <v>3493</v>
      </c>
      <c r="I107" s="0" t="s">
        <v>46</v>
      </c>
      <c r="J107" s="0" t="s">
        <v>46</v>
      </c>
      <c r="K107" s="0" t="s">
        <v>46</v>
      </c>
      <c r="L107" s="0" t="s">
        <v>46</v>
      </c>
      <c r="M107" s="0" t="s">
        <v>46</v>
      </c>
      <c r="N107" s="0" t="s">
        <v>46</v>
      </c>
    </row>
    <row r="108" customFormat="false" ht="15" hidden="false" customHeight="false" outlineLevel="0" collapsed="false">
      <c r="A108" s="0" t="s">
        <v>3494</v>
      </c>
      <c r="B108" s="0" t="s">
        <v>3061</v>
      </c>
      <c r="C108" s="0" t="s">
        <v>3062</v>
      </c>
      <c r="D108" s="0" t="s">
        <v>46</v>
      </c>
      <c r="E108" s="0" t="s">
        <v>46</v>
      </c>
      <c r="F108" s="0" t="s">
        <v>46</v>
      </c>
      <c r="G108" s="0" t="s">
        <v>3495</v>
      </c>
      <c r="H108" s="0" t="s">
        <v>3496</v>
      </c>
      <c r="I108" s="0" t="s">
        <v>46</v>
      </c>
      <c r="J108" s="0" t="s">
        <v>46</v>
      </c>
      <c r="K108" s="0" t="s">
        <v>46</v>
      </c>
      <c r="L108" s="0" t="s">
        <v>46</v>
      </c>
      <c r="M108" s="0" t="s">
        <v>46</v>
      </c>
      <c r="N108" s="0" t="s">
        <v>46</v>
      </c>
    </row>
    <row r="109" customFormat="false" ht="15" hidden="false" customHeight="false" outlineLevel="0" collapsed="false">
      <c r="A109" s="0" t="s">
        <v>3497</v>
      </c>
      <c r="B109" s="0" t="s">
        <v>2117</v>
      </c>
      <c r="C109" s="0" t="s">
        <v>2118</v>
      </c>
      <c r="D109" s="0" t="s">
        <v>46</v>
      </c>
      <c r="E109" s="0" t="s">
        <v>46</v>
      </c>
      <c r="F109" s="0" t="s">
        <v>3498</v>
      </c>
      <c r="G109" s="0" t="s">
        <v>3499</v>
      </c>
      <c r="H109" s="0" t="s">
        <v>3500</v>
      </c>
      <c r="I109" s="0" t="s">
        <v>46</v>
      </c>
      <c r="J109" s="0" t="s">
        <v>46</v>
      </c>
      <c r="K109" s="0" t="s">
        <v>46</v>
      </c>
      <c r="L109" s="0" t="s">
        <v>46</v>
      </c>
      <c r="M109" s="0" t="s">
        <v>46</v>
      </c>
      <c r="N109" s="0" t="s">
        <v>46</v>
      </c>
    </row>
    <row r="110" customFormat="false" ht="15" hidden="false" customHeight="false" outlineLevel="0" collapsed="false">
      <c r="A110" s="0" t="s">
        <v>3501</v>
      </c>
      <c r="B110" s="0" t="s">
        <v>2567</v>
      </c>
      <c r="C110" s="0" t="s">
        <v>2568</v>
      </c>
      <c r="D110" s="0" t="s">
        <v>2569</v>
      </c>
      <c r="E110" s="0" t="s">
        <v>46</v>
      </c>
      <c r="F110" s="0" t="s">
        <v>3502</v>
      </c>
      <c r="G110" s="0" t="s">
        <v>3503</v>
      </c>
      <c r="H110" s="0" t="s">
        <v>3504</v>
      </c>
      <c r="I110" s="0" t="s">
        <v>46</v>
      </c>
      <c r="J110" s="0" t="s">
        <v>46</v>
      </c>
      <c r="K110" s="0" t="s">
        <v>46</v>
      </c>
      <c r="L110" s="0" t="s">
        <v>46</v>
      </c>
      <c r="M110" s="0" t="s">
        <v>46</v>
      </c>
      <c r="N110" s="0" t="s">
        <v>46</v>
      </c>
    </row>
    <row r="111" customFormat="false" ht="15" hidden="false" customHeight="false" outlineLevel="0" collapsed="false">
      <c r="A111" s="0" t="s">
        <v>3505</v>
      </c>
      <c r="B111" s="0" t="s">
        <v>3106</v>
      </c>
      <c r="C111" s="0" t="s">
        <v>3107</v>
      </c>
      <c r="D111" s="0" t="s">
        <v>3108</v>
      </c>
      <c r="E111" s="0" t="s">
        <v>46</v>
      </c>
      <c r="F111" s="0" t="s">
        <v>46</v>
      </c>
      <c r="G111" s="0" t="s">
        <v>3506</v>
      </c>
      <c r="H111" s="0" t="s">
        <v>3507</v>
      </c>
      <c r="I111" s="0" t="s">
        <v>46</v>
      </c>
      <c r="J111" s="0" t="s">
        <v>46</v>
      </c>
      <c r="K111" s="0" t="s">
        <v>46</v>
      </c>
      <c r="L111" s="0" t="s">
        <v>46</v>
      </c>
      <c r="M111" s="0" t="s">
        <v>46</v>
      </c>
      <c r="N111" s="0" t="s">
        <v>46</v>
      </c>
    </row>
    <row r="112" customFormat="false" ht="15" hidden="false" customHeight="false" outlineLevel="0" collapsed="false">
      <c r="A112" s="0" t="s">
        <v>3508</v>
      </c>
      <c r="B112" s="0" t="s">
        <v>2531</v>
      </c>
      <c r="C112" s="0" t="s">
        <v>2532</v>
      </c>
      <c r="D112" s="0" t="s">
        <v>2533</v>
      </c>
      <c r="E112" s="0" t="s">
        <v>2534</v>
      </c>
      <c r="F112" s="0" t="s">
        <v>46</v>
      </c>
      <c r="G112" s="0" t="s">
        <v>3509</v>
      </c>
      <c r="H112" s="0" t="s">
        <v>3510</v>
      </c>
      <c r="I112" s="0" t="str">
        <f aca="false">HYPERLINK("https://omim.org/entry/180849", "180849")</f>
        <v>180849</v>
      </c>
      <c r="J112" s="0" t="s">
        <v>46</v>
      </c>
      <c r="K112" s="0" t="s">
        <v>46</v>
      </c>
      <c r="L112" s="0" t="s">
        <v>46</v>
      </c>
      <c r="M112" s="0" t="s">
        <v>46</v>
      </c>
      <c r="N112" s="0" t="s">
        <v>46</v>
      </c>
    </row>
    <row r="113" customFormat="false" ht="15" hidden="false" customHeight="false" outlineLevel="0" collapsed="false">
      <c r="A113" s="0" t="s">
        <v>3511</v>
      </c>
      <c r="B113" s="0" t="s">
        <v>2936</v>
      </c>
      <c r="C113" s="0" t="s">
        <v>2937</v>
      </c>
      <c r="D113" s="0" t="s">
        <v>2938</v>
      </c>
      <c r="E113" s="0" t="s">
        <v>46</v>
      </c>
      <c r="F113" s="0" t="s">
        <v>3512</v>
      </c>
      <c r="G113" s="0" t="s">
        <v>3513</v>
      </c>
      <c r="H113" s="0" t="s">
        <v>46</v>
      </c>
      <c r="I113" s="0" t="s">
        <v>46</v>
      </c>
      <c r="J113" s="0" t="s">
        <v>46</v>
      </c>
      <c r="K113" s="0" t="s">
        <v>46</v>
      </c>
      <c r="L113" s="0" t="s">
        <v>46</v>
      </c>
      <c r="M113" s="0" t="s">
        <v>46</v>
      </c>
      <c r="N113" s="0" t="s">
        <v>46</v>
      </c>
    </row>
    <row r="114" customFormat="false" ht="15" hidden="false" customHeight="false" outlineLevel="0" collapsed="false">
      <c r="A114" s="0" t="s">
        <v>3514</v>
      </c>
      <c r="B114" s="0" t="s">
        <v>2840</v>
      </c>
      <c r="C114" s="0" t="s">
        <v>2841</v>
      </c>
      <c r="D114" s="0" t="s">
        <v>2842</v>
      </c>
      <c r="E114" s="0" t="s">
        <v>2843</v>
      </c>
      <c r="F114" s="0" t="s">
        <v>3515</v>
      </c>
      <c r="G114" s="0" t="s">
        <v>3516</v>
      </c>
      <c r="H114" s="0" t="s">
        <v>3517</v>
      </c>
      <c r="I114" s="0" t="str">
        <f aca="false">HYPERLINK("https://omim.org/entry/604219", "604219")</f>
        <v>604219</v>
      </c>
      <c r="J114" s="0" t="s">
        <v>46</v>
      </c>
      <c r="K114" s="0" t="s">
        <v>46</v>
      </c>
      <c r="L114" s="0" t="s">
        <v>46</v>
      </c>
      <c r="M114" s="0" t="s">
        <v>46</v>
      </c>
      <c r="N114" s="0" t="s">
        <v>46</v>
      </c>
    </row>
    <row r="115" customFormat="false" ht="15" hidden="false" customHeight="false" outlineLevel="0" collapsed="false">
      <c r="A115" s="0" t="s">
        <v>3518</v>
      </c>
      <c r="B115" s="0" t="s">
        <v>1896</v>
      </c>
      <c r="C115" s="0" t="s">
        <v>1897</v>
      </c>
      <c r="D115" s="0" t="s">
        <v>46</v>
      </c>
      <c r="E115" s="0" t="s">
        <v>46</v>
      </c>
      <c r="F115" s="0" t="s">
        <v>3519</v>
      </c>
      <c r="G115" s="0" t="s">
        <v>3520</v>
      </c>
      <c r="H115" s="0" t="s">
        <v>3521</v>
      </c>
      <c r="I115" s="0" t="s">
        <v>46</v>
      </c>
      <c r="J115" s="0" t="s">
        <v>46</v>
      </c>
      <c r="K115" s="0" t="s">
        <v>46</v>
      </c>
      <c r="L115" s="0" t="s">
        <v>46</v>
      </c>
      <c r="M115" s="0" t="s">
        <v>46</v>
      </c>
      <c r="N115" s="0" t="s">
        <v>46</v>
      </c>
    </row>
    <row r="116" customFormat="false" ht="15" hidden="false" customHeight="false" outlineLevel="0" collapsed="false">
      <c r="A116" s="0" t="s">
        <v>3522</v>
      </c>
      <c r="B116" s="0" t="s">
        <v>690</v>
      </c>
      <c r="C116" s="0" t="s">
        <v>691</v>
      </c>
      <c r="D116" s="0" t="s">
        <v>692</v>
      </c>
      <c r="E116" s="0" t="s">
        <v>46</v>
      </c>
      <c r="F116" s="0" t="s">
        <v>3523</v>
      </c>
      <c r="G116" s="0" t="s">
        <v>3524</v>
      </c>
      <c r="H116" s="0" t="s">
        <v>3525</v>
      </c>
      <c r="I116" s="0" t="s">
        <v>46</v>
      </c>
      <c r="J116" s="0" t="s">
        <v>46</v>
      </c>
      <c r="K116" s="0" t="s">
        <v>46</v>
      </c>
      <c r="L116" s="0" t="s">
        <v>46</v>
      </c>
      <c r="M116" s="0" t="s">
        <v>46</v>
      </c>
      <c r="N116" s="0" t="s">
        <v>46</v>
      </c>
    </row>
    <row r="117" customFormat="false" ht="15" hidden="false" customHeight="false" outlineLevel="0" collapsed="false">
      <c r="A117" s="0" t="s">
        <v>3526</v>
      </c>
      <c r="B117" s="0" t="s">
        <v>962</v>
      </c>
      <c r="C117" s="0" t="s">
        <v>963</v>
      </c>
      <c r="D117" s="0" t="s">
        <v>964</v>
      </c>
      <c r="E117" s="0" t="s">
        <v>46</v>
      </c>
      <c r="F117" s="0" t="s">
        <v>3527</v>
      </c>
      <c r="G117" s="0" t="s">
        <v>46</v>
      </c>
      <c r="H117" s="0" t="s">
        <v>46</v>
      </c>
      <c r="I117" s="0" t="s">
        <v>46</v>
      </c>
      <c r="J117" s="0" t="s">
        <v>46</v>
      </c>
      <c r="K117" s="0" t="s">
        <v>46</v>
      </c>
      <c r="L117" s="0" t="s">
        <v>46</v>
      </c>
      <c r="M117" s="0" t="s">
        <v>46</v>
      </c>
      <c r="N117" s="0" t="s">
        <v>46</v>
      </c>
    </row>
    <row r="118" customFormat="false" ht="15" hidden="false" customHeight="false" outlineLevel="0" collapsed="false">
      <c r="A118" s="0" t="s">
        <v>3528</v>
      </c>
      <c r="B118" s="0" t="s">
        <v>324</v>
      </c>
      <c r="C118" s="0" t="s">
        <v>325</v>
      </c>
      <c r="D118" s="0" t="s">
        <v>326</v>
      </c>
      <c r="E118" s="0" t="s">
        <v>327</v>
      </c>
      <c r="F118" s="0" t="s">
        <v>3529</v>
      </c>
      <c r="G118" s="0" t="s">
        <v>46</v>
      </c>
      <c r="H118" s="0" t="s">
        <v>46</v>
      </c>
      <c r="I118" s="0" t="str">
        <f aca="false">HYPERLINK("https://omim.org/entry/261100", "261100")</f>
        <v>261100</v>
      </c>
      <c r="J118" s="0" t="s">
        <v>46</v>
      </c>
      <c r="K118" s="0" t="s">
        <v>46</v>
      </c>
      <c r="L118" s="0" t="s">
        <v>46</v>
      </c>
      <c r="M118" s="0" t="s">
        <v>46</v>
      </c>
      <c r="N118" s="0" t="s">
        <v>46</v>
      </c>
    </row>
    <row r="119" customFormat="false" ht="15" hidden="false" customHeight="false" outlineLevel="0" collapsed="false">
      <c r="A119" s="0" t="s">
        <v>3530</v>
      </c>
      <c r="B119" s="0" t="s">
        <v>1519</v>
      </c>
      <c r="C119" s="0" t="s">
        <v>1520</v>
      </c>
      <c r="D119" s="0" t="s">
        <v>1521</v>
      </c>
      <c r="E119" s="0" t="s">
        <v>46</v>
      </c>
      <c r="F119" s="0" t="s">
        <v>46</v>
      </c>
      <c r="G119" s="0" t="s">
        <v>3531</v>
      </c>
      <c r="H119" s="0" t="s">
        <v>3532</v>
      </c>
      <c r="I119" s="0" t="s">
        <v>46</v>
      </c>
      <c r="J119" s="0" t="s">
        <v>46</v>
      </c>
      <c r="K119" s="0" t="s">
        <v>46</v>
      </c>
      <c r="L119" s="0" t="s">
        <v>46</v>
      </c>
      <c r="M119" s="0" t="s">
        <v>46</v>
      </c>
      <c r="N119" s="0" t="s">
        <v>46</v>
      </c>
    </row>
    <row r="120" customFormat="false" ht="15" hidden="false" customHeight="false" outlineLevel="0" collapsed="false">
      <c r="A120" s="0" t="s">
        <v>3533</v>
      </c>
      <c r="B120" s="0" t="s">
        <v>543</v>
      </c>
      <c r="C120" s="0" t="s">
        <v>544</v>
      </c>
      <c r="D120" s="0" t="s">
        <v>545</v>
      </c>
      <c r="E120" s="0" t="s">
        <v>46</v>
      </c>
      <c r="F120" s="0" t="s">
        <v>3534</v>
      </c>
      <c r="G120" s="0" t="s">
        <v>3535</v>
      </c>
      <c r="H120" s="0" t="s">
        <v>3536</v>
      </c>
      <c r="I120" s="0" t="s">
        <v>46</v>
      </c>
      <c r="J120" s="0" t="s">
        <v>46</v>
      </c>
      <c r="K120" s="0" t="s">
        <v>46</v>
      </c>
      <c r="L120" s="0" t="s">
        <v>46</v>
      </c>
      <c r="M120" s="0" t="s">
        <v>46</v>
      </c>
      <c r="N120" s="0" t="s">
        <v>46</v>
      </c>
    </row>
    <row r="121" customFormat="false" ht="15" hidden="false" customHeight="false" outlineLevel="0" collapsed="false">
      <c r="A121" s="0" t="s">
        <v>3537</v>
      </c>
      <c r="B121" s="0" t="s">
        <v>430</v>
      </c>
      <c r="C121" s="0" t="s">
        <v>431</v>
      </c>
      <c r="D121" s="0" t="s">
        <v>432</v>
      </c>
      <c r="E121" s="0" t="s">
        <v>46</v>
      </c>
      <c r="F121" s="0" t="s">
        <v>3538</v>
      </c>
      <c r="G121" s="0" t="s">
        <v>3539</v>
      </c>
      <c r="H121" s="0" t="s">
        <v>3540</v>
      </c>
      <c r="I121" s="0" t="s">
        <v>46</v>
      </c>
      <c r="J121" s="0" t="s">
        <v>46</v>
      </c>
      <c r="K121" s="0" t="s">
        <v>46</v>
      </c>
      <c r="L121" s="0" t="s">
        <v>46</v>
      </c>
      <c r="M121" s="0" t="s">
        <v>46</v>
      </c>
      <c r="N121" s="0" t="s">
        <v>46</v>
      </c>
    </row>
    <row r="122" customFormat="false" ht="15" hidden="false" customHeight="false" outlineLevel="0" collapsed="false">
      <c r="A122" s="0" t="s">
        <v>3541</v>
      </c>
      <c r="B122" s="0" t="s">
        <v>2654</v>
      </c>
      <c r="C122" s="0" t="s">
        <v>2655</v>
      </c>
      <c r="D122" s="0" t="s">
        <v>2656</v>
      </c>
      <c r="E122" s="0" t="s">
        <v>2657</v>
      </c>
      <c r="F122" s="0" t="s">
        <v>3542</v>
      </c>
      <c r="G122" s="0" t="s">
        <v>3543</v>
      </c>
      <c r="H122" s="0" t="s">
        <v>3477</v>
      </c>
      <c r="I122" s="0" t="str">
        <f aca="false">HYPERLINK("https://omim.org/entry/157600", "157600")</f>
        <v>157600</v>
      </c>
      <c r="J122" s="0" t="s">
        <v>46</v>
      </c>
      <c r="K122" s="0" t="s">
        <v>46</v>
      </c>
      <c r="L122" s="0" t="s">
        <v>46</v>
      </c>
      <c r="M122" s="0" t="s">
        <v>46</v>
      </c>
      <c r="N122" s="0" t="s">
        <v>46</v>
      </c>
    </row>
    <row r="123" customFormat="false" ht="15" hidden="false" customHeight="false" outlineLevel="0" collapsed="false">
      <c r="A123" s="0" t="s">
        <v>3544</v>
      </c>
      <c r="B123" s="0" t="s">
        <v>887</v>
      </c>
      <c r="C123" s="0" t="s">
        <v>888</v>
      </c>
      <c r="D123" s="0" t="s">
        <v>46</v>
      </c>
      <c r="E123" s="0" t="s">
        <v>46</v>
      </c>
      <c r="F123" s="0" t="s">
        <v>46</v>
      </c>
      <c r="G123" s="0" t="s">
        <v>3545</v>
      </c>
      <c r="H123" s="0" t="s">
        <v>3546</v>
      </c>
      <c r="I123" s="0" t="s">
        <v>46</v>
      </c>
      <c r="J123" s="0" t="s">
        <v>46</v>
      </c>
      <c r="K123" s="0" t="s">
        <v>46</v>
      </c>
      <c r="L123" s="0" t="s">
        <v>46</v>
      </c>
      <c r="M123" s="0" t="s">
        <v>46</v>
      </c>
      <c r="N123" s="0" t="s">
        <v>46</v>
      </c>
    </row>
    <row r="124" customFormat="false" ht="15" hidden="false" customHeight="false" outlineLevel="0" collapsed="false">
      <c r="A124" s="0" t="s">
        <v>3547</v>
      </c>
      <c r="B124" s="0" t="s">
        <v>903</v>
      </c>
      <c r="C124" s="0" t="s">
        <v>904</v>
      </c>
      <c r="D124" s="0" t="s">
        <v>905</v>
      </c>
      <c r="E124" s="0" t="s">
        <v>46</v>
      </c>
      <c r="F124" s="0" t="s">
        <v>3548</v>
      </c>
      <c r="G124" s="0" t="s">
        <v>3549</v>
      </c>
      <c r="H124" s="0" t="s">
        <v>3550</v>
      </c>
      <c r="I124" s="0" t="s">
        <v>46</v>
      </c>
      <c r="J124" s="0" t="s">
        <v>46</v>
      </c>
      <c r="K124" s="0" t="s">
        <v>46</v>
      </c>
      <c r="L124" s="0" t="s">
        <v>46</v>
      </c>
      <c r="M124" s="0" t="s">
        <v>46</v>
      </c>
      <c r="N124" s="0" t="s">
        <v>46</v>
      </c>
    </row>
    <row r="125" customFormat="false" ht="15" hidden="false" customHeight="false" outlineLevel="0" collapsed="false">
      <c r="A125" s="0" t="s">
        <v>3551</v>
      </c>
      <c r="B125" s="0" t="s">
        <v>1830</v>
      </c>
      <c r="C125" s="0" t="s">
        <v>1831</v>
      </c>
      <c r="D125" s="0" t="s">
        <v>1832</v>
      </c>
      <c r="E125" s="0" t="s">
        <v>46</v>
      </c>
      <c r="F125" s="0" t="s">
        <v>46</v>
      </c>
      <c r="G125" s="0" t="s">
        <v>46</v>
      </c>
      <c r="H125" s="0" t="s">
        <v>46</v>
      </c>
      <c r="I125" s="0" t="s">
        <v>46</v>
      </c>
      <c r="J125" s="0" t="s">
        <v>46</v>
      </c>
      <c r="K125" s="0" t="s">
        <v>46</v>
      </c>
      <c r="L125" s="0" t="s">
        <v>46</v>
      </c>
      <c r="M125" s="0" t="s">
        <v>46</v>
      </c>
      <c r="N125" s="0" t="s">
        <v>46</v>
      </c>
    </row>
    <row r="126" customFormat="false" ht="15" hidden="false" customHeight="false" outlineLevel="0" collapsed="false">
      <c r="A126" s="0" t="s">
        <v>3552</v>
      </c>
      <c r="B126" s="0" t="s">
        <v>2855</v>
      </c>
      <c r="C126" s="0" t="s">
        <v>2856</v>
      </c>
      <c r="D126" s="0" t="s">
        <v>2857</v>
      </c>
      <c r="E126" s="0" t="s">
        <v>46</v>
      </c>
      <c r="F126" s="0" t="s">
        <v>3553</v>
      </c>
      <c r="G126" s="0" t="s">
        <v>3554</v>
      </c>
      <c r="H126" s="0" t="s">
        <v>46</v>
      </c>
      <c r="I126" s="0" t="s">
        <v>46</v>
      </c>
      <c r="J126" s="0" t="s">
        <v>46</v>
      </c>
      <c r="K126" s="0" t="s">
        <v>46</v>
      </c>
      <c r="L126" s="0" t="s">
        <v>46</v>
      </c>
      <c r="M126" s="0" t="s">
        <v>46</v>
      </c>
      <c r="N126" s="0" t="s">
        <v>46</v>
      </c>
    </row>
    <row r="127" customFormat="false" ht="15" hidden="false" customHeight="false" outlineLevel="0" collapsed="false">
      <c r="A127" s="0" t="s">
        <v>3555</v>
      </c>
      <c r="B127" s="0" t="s">
        <v>2438</v>
      </c>
      <c r="C127" s="0" t="s">
        <v>2439</v>
      </c>
      <c r="D127" s="0" t="s">
        <v>2440</v>
      </c>
      <c r="E127" s="0" t="s">
        <v>46</v>
      </c>
      <c r="F127" s="0" t="s">
        <v>3556</v>
      </c>
      <c r="G127" s="0" t="s">
        <v>3557</v>
      </c>
      <c r="H127" s="0" t="s">
        <v>3318</v>
      </c>
      <c r="I127" s="0" t="s">
        <v>46</v>
      </c>
      <c r="J127" s="0" t="s">
        <v>46</v>
      </c>
      <c r="K127" s="0" t="s">
        <v>46</v>
      </c>
      <c r="L127" s="0" t="s">
        <v>46</v>
      </c>
      <c r="M127" s="0" t="s">
        <v>46</v>
      </c>
      <c r="N127" s="0" t="s">
        <v>46</v>
      </c>
    </row>
    <row r="128" customFormat="false" ht="15" hidden="false" customHeight="false" outlineLevel="0" collapsed="false">
      <c r="A128" s="0" t="s">
        <v>3558</v>
      </c>
      <c r="B128" s="0" t="s">
        <v>53</v>
      </c>
      <c r="C128" s="0" t="s">
        <v>54</v>
      </c>
      <c r="D128" s="0" t="s">
        <v>55</v>
      </c>
      <c r="E128" s="0" t="s">
        <v>46</v>
      </c>
      <c r="F128" s="0" t="s">
        <v>3559</v>
      </c>
      <c r="G128" s="0" t="s">
        <v>3560</v>
      </c>
      <c r="H128" s="0" t="s">
        <v>3561</v>
      </c>
      <c r="I128" s="0" t="s">
        <v>46</v>
      </c>
      <c r="J128" s="0" t="s">
        <v>46</v>
      </c>
      <c r="K128" s="0" t="s">
        <v>46</v>
      </c>
      <c r="L128" s="0" t="s">
        <v>46</v>
      </c>
      <c r="M128" s="0" t="s">
        <v>46</v>
      </c>
      <c r="N128" s="0" t="s">
        <v>46</v>
      </c>
    </row>
    <row r="129" customFormat="false" ht="15" hidden="false" customHeight="false" outlineLevel="0" collapsed="false">
      <c r="A129" s="0" t="s">
        <v>3562</v>
      </c>
      <c r="B129" s="0" t="s">
        <v>1377</v>
      </c>
      <c r="C129" s="0" t="s">
        <v>1378</v>
      </c>
      <c r="D129" s="0" t="s">
        <v>1379</v>
      </c>
      <c r="E129" s="0" t="s">
        <v>46</v>
      </c>
      <c r="F129" s="0" t="s">
        <v>46</v>
      </c>
      <c r="G129" s="0" t="s">
        <v>3563</v>
      </c>
      <c r="H129" s="0" t="s">
        <v>3564</v>
      </c>
      <c r="I129" s="0" t="s">
        <v>46</v>
      </c>
      <c r="J129" s="0" t="s">
        <v>46</v>
      </c>
      <c r="K129" s="0" t="s">
        <v>46</v>
      </c>
      <c r="L129" s="0" t="s">
        <v>46</v>
      </c>
      <c r="M129" s="0" t="s">
        <v>46</v>
      </c>
      <c r="N129" s="0" t="s">
        <v>46</v>
      </c>
    </row>
    <row r="130" customFormat="false" ht="15" hidden="false" customHeight="false" outlineLevel="0" collapsed="false">
      <c r="A130" s="0" t="s">
        <v>3565</v>
      </c>
      <c r="B130" s="0" t="s">
        <v>46</v>
      </c>
      <c r="C130" s="0" t="s">
        <v>2796</v>
      </c>
      <c r="D130" s="0" t="s">
        <v>46</v>
      </c>
      <c r="E130" s="0" t="s">
        <v>46</v>
      </c>
      <c r="F130" s="0" t="s">
        <v>46</v>
      </c>
      <c r="G130" s="0" t="s">
        <v>46</v>
      </c>
      <c r="H130" s="0" t="s">
        <v>46</v>
      </c>
      <c r="I130" s="0" t="s">
        <v>46</v>
      </c>
      <c r="J130" s="0" t="s">
        <v>46</v>
      </c>
      <c r="K130" s="0" t="s">
        <v>46</v>
      </c>
      <c r="L130" s="0" t="s">
        <v>46</v>
      </c>
      <c r="M130" s="0" t="s">
        <v>46</v>
      </c>
      <c r="N130" s="0" t="s">
        <v>46</v>
      </c>
    </row>
    <row r="131" customFormat="false" ht="15" hidden="false" customHeight="false" outlineLevel="0" collapsed="false">
      <c r="A131" s="0" t="s">
        <v>3566</v>
      </c>
      <c r="B131" s="0" t="s">
        <v>46</v>
      </c>
      <c r="C131" s="0" t="s">
        <v>550</v>
      </c>
      <c r="D131" s="0" t="s">
        <v>551</v>
      </c>
      <c r="E131" s="0" t="s">
        <v>46</v>
      </c>
      <c r="F131" s="0" t="s">
        <v>3567</v>
      </c>
      <c r="G131" s="0" t="s">
        <v>46</v>
      </c>
      <c r="H131" s="0" t="s">
        <v>46</v>
      </c>
      <c r="I131" s="0" t="s">
        <v>46</v>
      </c>
      <c r="J131" s="0" t="s">
        <v>46</v>
      </c>
      <c r="K131" s="0" t="s">
        <v>46</v>
      </c>
      <c r="L131" s="0" t="s">
        <v>46</v>
      </c>
      <c r="M131" s="0" t="s">
        <v>46</v>
      </c>
      <c r="N131" s="0" t="s">
        <v>46</v>
      </c>
    </row>
    <row r="132" customFormat="false" ht="15" hidden="false" customHeight="false" outlineLevel="0" collapsed="false">
      <c r="A132" s="0" t="s">
        <v>3568</v>
      </c>
      <c r="B132" s="0" t="s">
        <v>1883</v>
      </c>
      <c r="C132" s="0" t="s">
        <v>1884</v>
      </c>
      <c r="D132" s="0" t="s">
        <v>1885</v>
      </c>
      <c r="E132" s="0" t="s">
        <v>46</v>
      </c>
      <c r="F132" s="0" t="s">
        <v>3569</v>
      </c>
      <c r="G132" s="0" t="s">
        <v>46</v>
      </c>
      <c r="H132" s="0" t="s">
        <v>46</v>
      </c>
      <c r="I132" s="0" t="s">
        <v>46</v>
      </c>
      <c r="J132" s="0" t="s">
        <v>46</v>
      </c>
      <c r="K132" s="0" t="s">
        <v>46</v>
      </c>
      <c r="L132" s="0" t="s">
        <v>46</v>
      </c>
      <c r="M132" s="0" t="s">
        <v>46</v>
      </c>
      <c r="N132" s="0" t="s">
        <v>46</v>
      </c>
    </row>
    <row r="133" customFormat="false" ht="15" hidden="false" customHeight="false" outlineLevel="0" collapsed="false">
      <c r="A133" s="0" t="s">
        <v>3570</v>
      </c>
      <c r="B133" s="0" t="s">
        <v>2981</v>
      </c>
      <c r="C133" s="0" t="s">
        <v>2982</v>
      </c>
      <c r="D133" s="0" t="s">
        <v>46</v>
      </c>
      <c r="E133" s="0" t="s">
        <v>46</v>
      </c>
      <c r="F133" s="0" t="s">
        <v>3571</v>
      </c>
      <c r="G133" s="0" t="s">
        <v>3572</v>
      </c>
      <c r="H133" s="0" t="s">
        <v>3573</v>
      </c>
      <c r="I133" s="0" t="s">
        <v>46</v>
      </c>
      <c r="J133" s="0" t="s">
        <v>46</v>
      </c>
      <c r="K133" s="0" t="s">
        <v>46</v>
      </c>
      <c r="L133" s="0" t="s">
        <v>46</v>
      </c>
      <c r="M133" s="0" t="s">
        <v>46</v>
      </c>
      <c r="N133" s="0" t="s">
        <v>46</v>
      </c>
    </row>
    <row r="134" customFormat="false" ht="15" hidden="false" customHeight="false" outlineLevel="0" collapsed="false">
      <c r="A134" s="0" t="s">
        <v>3574</v>
      </c>
      <c r="B134" s="0" t="s">
        <v>2190</v>
      </c>
      <c r="C134" s="0" t="s">
        <v>2191</v>
      </c>
      <c r="D134" s="0" t="s">
        <v>2192</v>
      </c>
      <c r="E134" s="0" t="s">
        <v>2193</v>
      </c>
      <c r="F134" s="0" t="s">
        <v>46</v>
      </c>
      <c r="G134" s="0" t="s">
        <v>46</v>
      </c>
      <c r="H134" s="0" t="s">
        <v>46</v>
      </c>
      <c r="I134" s="0" t="str">
        <f aca="false">HYPERLINK("https://omim.org/entry/606763", "606763")</f>
        <v>606763</v>
      </c>
      <c r="J134" s="0" t="s">
        <v>46</v>
      </c>
      <c r="K134" s="0" t="s">
        <v>46</v>
      </c>
      <c r="L134" s="0" t="s">
        <v>46</v>
      </c>
      <c r="M134" s="0" t="s">
        <v>46</v>
      </c>
      <c r="N134" s="0" t="s">
        <v>46</v>
      </c>
    </row>
    <row r="135" customFormat="false" ht="15" hidden="false" customHeight="false" outlineLevel="0" collapsed="false">
      <c r="A135" s="0" t="s">
        <v>3575</v>
      </c>
      <c r="B135" s="0" t="s">
        <v>1055</v>
      </c>
      <c r="C135" s="0" t="s">
        <v>1056</v>
      </c>
      <c r="D135" s="0" t="s">
        <v>1057</v>
      </c>
      <c r="E135" s="0" t="s">
        <v>46</v>
      </c>
      <c r="F135" s="0" t="s">
        <v>3576</v>
      </c>
      <c r="G135" s="0" t="s">
        <v>46</v>
      </c>
      <c r="H135" s="0" t="s">
        <v>46</v>
      </c>
      <c r="I135" s="0" t="s">
        <v>46</v>
      </c>
      <c r="J135" s="0" t="s">
        <v>46</v>
      </c>
      <c r="K135" s="0" t="s">
        <v>46</v>
      </c>
      <c r="L135" s="0" t="s">
        <v>46</v>
      </c>
      <c r="M135" s="0" t="s">
        <v>46</v>
      </c>
      <c r="N135" s="0" t="s">
        <v>46</v>
      </c>
    </row>
    <row r="136" customFormat="false" ht="15" hidden="false" customHeight="false" outlineLevel="0" collapsed="false">
      <c r="A136" s="0" t="s">
        <v>3577</v>
      </c>
      <c r="B136" s="0" t="s">
        <v>3015</v>
      </c>
      <c r="C136" s="0" t="s">
        <v>3016</v>
      </c>
      <c r="D136" s="0" t="s">
        <v>3017</v>
      </c>
      <c r="E136" s="0" t="s">
        <v>3018</v>
      </c>
      <c r="F136" s="0" t="s">
        <v>3578</v>
      </c>
      <c r="G136" s="0" t="s">
        <v>3579</v>
      </c>
      <c r="H136" s="0" t="s">
        <v>3580</v>
      </c>
      <c r="I136" s="0" t="str">
        <f aca="false">HYPERLINK("https://omim.org/entry/614653", "614653")</f>
        <v>614653</v>
      </c>
      <c r="J136" s="0" t="str">
        <f aca="false">HYPERLINK("https://omim.org/entry/615425", "615425")</f>
        <v>615425</v>
      </c>
      <c r="K136" s="0" t="s">
        <v>46</v>
      </c>
      <c r="L136" s="0" t="s">
        <v>46</v>
      </c>
      <c r="M136" s="0" t="s">
        <v>46</v>
      </c>
      <c r="N136" s="0" t="s">
        <v>46</v>
      </c>
    </row>
    <row r="137" customFormat="false" ht="15" hidden="false" customHeight="false" outlineLevel="0" collapsed="false">
      <c r="A137" s="0" t="s">
        <v>3581</v>
      </c>
      <c r="B137" s="0" t="s">
        <v>1361</v>
      </c>
      <c r="C137" s="0" t="s">
        <v>1362</v>
      </c>
      <c r="D137" s="0" t="s">
        <v>1363</v>
      </c>
      <c r="E137" s="0" t="s">
        <v>46</v>
      </c>
      <c r="F137" s="0" t="s">
        <v>46</v>
      </c>
      <c r="G137" s="0" t="s">
        <v>3582</v>
      </c>
      <c r="H137" s="0" t="s">
        <v>3583</v>
      </c>
      <c r="I137" s="0" t="s">
        <v>46</v>
      </c>
      <c r="J137" s="0" t="s">
        <v>46</v>
      </c>
      <c r="K137" s="0" t="s">
        <v>46</v>
      </c>
      <c r="L137" s="0" t="s">
        <v>46</v>
      </c>
      <c r="M137" s="0" t="s">
        <v>46</v>
      </c>
      <c r="N137" s="0" t="s">
        <v>46</v>
      </c>
    </row>
    <row r="138" customFormat="false" ht="15" hidden="false" customHeight="false" outlineLevel="0" collapsed="false">
      <c r="A138" s="0" t="s">
        <v>3584</v>
      </c>
      <c r="B138" s="0" t="s">
        <v>1535</v>
      </c>
      <c r="C138" s="0" t="s">
        <v>1536</v>
      </c>
      <c r="D138" s="0" t="s">
        <v>46</v>
      </c>
      <c r="E138" s="0" t="s">
        <v>46</v>
      </c>
      <c r="F138" s="0" t="s">
        <v>3585</v>
      </c>
      <c r="G138" s="0" t="s">
        <v>3586</v>
      </c>
      <c r="H138" s="0" t="s">
        <v>3587</v>
      </c>
      <c r="I138" s="0" t="s">
        <v>46</v>
      </c>
      <c r="J138" s="0" t="s">
        <v>46</v>
      </c>
      <c r="K138" s="0" t="s">
        <v>46</v>
      </c>
      <c r="L138" s="0" t="s">
        <v>46</v>
      </c>
      <c r="M138" s="0" t="s">
        <v>46</v>
      </c>
      <c r="N138" s="0" t="s">
        <v>46</v>
      </c>
    </row>
    <row r="139" customFormat="false" ht="15" hidden="false" customHeight="false" outlineLevel="0" collapsed="false">
      <c r="A139" s="0" t="s">
        <v>3588</v>
      </c>
      <c r="B139" s="0" t="s">
        <v>2759</v>
      </c>
      <c r="C139" s="0" t="s">
        <v>2760</v>
      </c>
      <c r="D139" s="0" t="s">
        <v>2761</v>
      </c>
      <c r="E139" s="0" t="s">
        <v>2762</v>
      </c>
      <c r="F139" s="0" t="s">
        <v>3589</v>
      </c>
      <c r="G139" s="0" t="s">
        <v>3590</v>
      </c>
      <c r="H139" s="0" t="s">
        <v>3591</v>
      </c>
      <c r="I139" s="0" t="str">
        <f aca="false">HYPERLINK("https://omim.org/entry/253601", "253601")</f>
        <v>253601</v>
      </c>
      <c r="J139" s="0" t="str">
        <f aca="false">HYPERLINK("https://omim.org/entry/254130", "254130")</f>
        <v>254130</v>
      </c>
      <c r="K139" s="0" t="str">
        <f aca="false">HYPERLINK("https://omim.org/entry/606768", "606768")</f>
        <v>606768</v>
      </c>
      <c r="L139" s="0" t="s">
        <v>46</v>
      </c>
      <c r="M139" s="0" t="s">
        <v>46</v>
      </c>
      <c r="N139" s="0" t="s">
        <v>46</v>
      </c>
    </row>
    <row r="140" customFormat="false" ht="15" hidden="false" customHeight="false" outlineLevel="0" collapsed="false">
      <c r="A140" s="0" t="s">
        <v>3592</v>
      </c>
      <c r="B140" s="0" t="s">
        <v>1009</v>
      </c>
      <c r="C140" s="0" t="s">
        <v>1010</v>
      </c>
      <c r="D140" s="0" t="s">
        <v>1011</v>
      </c>
      <c r="E140" s="0" t="s">
        <v>46</v>
      </c>
      <c r="F140" s="0" t="s">
        <v>46</v>
      </c>
      <c r="G140" s="0" t="s">
        <v>3593</v>
      </c>
      <c r="H140" s="0" t="s">
        <v>3594</v>
      </c>
      <c r="I140" s="0" t="s">
        <v>46</v>
      </c>
      <c r="J140" s="0" t="s">
        <v>46</v>
      </c>
      <c r="K140" s="0" t="s">
        <v>46</v>
      </c>
      <c r="L140" s="0" t="s">
        <v>46</v>
      </c>
      <c r="M140" s="0" t="s">
        <v>46</v>
      </c>
      <c r="N140" s="0" t="s">
        <v>46</v>
      </c>
    </row>
    <row r="141" customFormat="false" ht="15" hidden="false" customHeight="false" outlineLevel="0" collapsed="false">
      <c r="A141" s="0" t="s">
        <v>3595</v>
      </c>
      <c r="B141" s="0" t="s">
        <v>2144</v>
      </c>
      <c r="C141" s="0" t="s">
        <v>2145</v>
      </c>
      <c r="D141" s="0" t="s">
        <v>2146</v>
      </c>
      <c r="E141" s="0" t="s">
        <v>2147</v>
      </c>
      <c r="F141" s="0" t="s">
        <v>3596</v>
      </c>
      <c r="G141" s="0" t="s">
        <v>3597</v>
      </c>
      <c r="H141" s="0" t="s">
        <v>3598</v>
      </c>
      <c r="I141" s="0" t="str">
        <f aca="false">HYPERLINK("https://omim.org/entry/615065", "615065")</f>
        <v>615065</v>
      </c>
      <c r="J141" s="0" t="s">
        <v>46</v>
      </c>
      <c r="K141" s="0" t="s">
        <v>46</v>
      </c>
      <c r="L141" s="0" t="s">
        <v>46</v>
      </c>
      <c r="M141" s="0" t="s">
        <v>46</v>
      </c>
      <c r="N141" s="0" t="s">
        <v>46</v>
      </c>
    </row>
    <row r="142" customFormat="false" ht="15" hidden="false" customHeight="false" outlineLevel="0" collapsed="false">
      <c r="A142" s="0" t="s">
        <v>3599</v>
      </c>
      <c r="B142" s="0" t="s">
        <v>1758</v>
      </c>
      <c r="C142" s="0" t="s">
        <v>1759</v>
      </c>
      <c r="D142" s="0" t="s">
        <v>1760</v>
      </c>
      <c r="E142" s="0" t="s">
        <v>46</v>
      </c>
      <c r="F142" s="0" t="s">
        <v>46</v>
      </c>
      <c r="G142" s="0" t="s">
        <v>3600</v>
      </c>
      <c r="H142" s="0" t="s">
        <v>3601</v>
      </c>
      <c r="I142" s="0" t="s">
        <v>46</v>
      </c>
      <c r="J142" s="0" t="s">
        <v>46</v>
      </c>
      <c r="K142" s="0" t="s">
        <v>46</v>
      </c>
      <c r="L142" s="0" t="s">
        <v>46</v>
      </c>
      <c r="M142" s="0" t="s">
        <v>46</v>
      </c>
      <c r="N142" s="0" t="s">
        <v>46</v>
      </c>
    </row>
    <row r="143" customFormat="false" ht="15" hidden="false" customHeight="false" outlineLevel="0" collapsed="false">
      <c r="A143" s="0" t="s">
        <v>3602</v>
      </c>
      <c r="B143" s="0" t="s">
        <v>1014</v>
      </c>
      <c r="C143" s="0" t="s">
        <v>1015</v>
      </c>
      <c r="D143" s="0" t="s">
        <v>1016</v>
      </c>
      <c r="E143" s="0" t="s">
        <v>46</v>
      </c>
      <c r="F143" s="0" t="s">
        <v>46</v>
      </c>
      <c r="G143" s="0" t="s">
        <v>3603</v>
      </c>
      <c r="H143" s="0" t="s">
        <v>3604</v>
      </c>
      <c r="I143" s="0" t="s">
        <v>46</v>
      </c>
      <c r="J143" s="0" t="s">
        <v>46</v>
      </c>
      <c r="K143" s="0" t="s">
        <v>46</v>
      </c>
      <c r="L143" s="0" t="s">
        <v>46</v>
      </c>
      <c r="M143" s="0" t="s">
        <v>46</v>
      </c>
      <c r="N143" s="0" t="s">
        <v>46</v>
      </c>
    </row>
    <row r="144" customFormat="false" ht="15" hidden="false" customHeight="false" outlineLevel="0" collapsed="false">
      <c r="A144" s="0" t="s">
        <v>3605</v>
      </c>
      <c r="B144" s="0" t="s">
        <v>875</v>
      </c>
      <c r="C144" s="0" t="s">
        <v>876</v>
      </c>
      <c r="D144" s="0" t="s">
        <v>46</v>
      </c>
      <c r="E144" s="0" t="s">
        <v>46</v>
      </c>
      <c r="F144" s="0" t="s">
        <v>46</v>
      </c>
      <c r="G144" s="0" t="s">
        <v>3606</v>
      </c>
      <c r="H144" s="0" t="s">
        <v>3607</v>
      </c>
      <c r="I144" s="0" t="s">
        <v>46</v>
      </c>
      <c r="J144" s="0" t="s">
        <v>46</v>
      </c>
      <c r="K144" s="0" t="s">
        <v>46</v>
      </c>
      <c r="L144" s="0" t="s">
        <v>46</v>
      </c>
      <c r="M144" s="0" t="s">
        <v>46</v>
      </c>
      <c r="N144" s="0" t="s">
        <v>46</v>
      </c>
    </row>
    <row r="145" customFormat="false" ht="15" hidden="false" customHeight="false" outlineLevel="0" collapsed="false">
      <c r="A145" s="0" t="s">
        <v>3608</v>
      </c>
      <c r="B145" s="0" t="s">
        <v>1461</v>
      </c>
      <c r="C145" s="0" t="s">
        <v>1462</v>
      </c>
      <c r="D145" s="0" t="s">
        <v>1463</v>
      </c>
      <c r="E145" s="0" t="s">
        <v>1464</v>
      </c>
      <c r="F145" s="0" t="s">
        <v>3609</v>
      </c>
      <c r="G145" s="0" t="s">
        <v>3610</v>
      </c>
      <c r="H145" s="0" t="s">
        <v>3611</v>
      </c>
      <c r="I145" s="0" t="str">
        <f aca="false">HYPERLINK("https://omim.org/entry/226980", "226980")</f>
        <v>226980</v>
      </c>
      <c r="J145" s="0" t="s">
        <v>46</v>
      </c>
      <c r="K145" s="0" t="s">
        <v>46</v>
      </c>
      <c r="L145" s="0" t="s">
        <v>46</v>
      </c>
      <c r="M145" s="0" t="s">
        <v>46</v>
      </c>
      <c r="N145" s="0" t="s">
        <v>46</v>
      </c>
    </row>
    <row r="146" customFormat="false" ht="15" hidden="false" customHeight="false" outlineLevel="0" collapsed="false">
      <c r="A146" s="0" t="s">
        <v>3612</v>
      </c>
      <c r="B146" s="0" t="s">
        <v>2647</v>
      </c>
      <c r="C146" s="0" t="s">
        <v>2648</v>
      </c>
      <c r="D146" s="0" t="s">
        <v>2649</v>
      </c>
      <c r="E146" s="0" t="s">
        <v>46</v>
      </c>
      <c r="F146" s="0" t="s">
        <v>3613</v>
      </c>
      <c r="G146" s="0" t="s">
        <v>3614</v>
      </c>
      <c r="H146" s="0" t="s">
        <v>3615</v>
      </c>
      <c r="I146" s="0" t="s">
        <v>46</v>
      </c>
      <c r="J146" s="0" t="s">
        <v>46</v>
      </c>
      <c r="K146" s="0" t="s">
        <v>46</v>
      </c>
      <c r="L146" s="0" t="s">
        <v>46</v>
      </c>
      <c r="M146" s="0" t="s">
        <v>46</v>
      </c>
      <c r="N146" s="0" t="s">
        <v>46</v>
      </c>
    </row>
    <row r="147" customFormat="false" ht="15" hidden="false" customHeight="false" outlineLevel="0" collapsed="false">
      <c r="A147" s="0" t="s">
        <v>3616</v>
      </c>
      <c r="B147" s="0" t="s">
        <v>1803</v>
      </c>
      <c r="C147" s="0" t="s">
        <v>1804</v>
      </c>
      <c r="D147" s="0" t="s">
        <v>1805</v>
      </c>
      <c r="E147" s="0" t="s">
        <v>46</v>
      </c>
      <c r="F147" s="0" t="s">
        <v>46</v>
      </c>
      <c r="G147" s="0" t="s">
        <v>46</v>
      </c>
      <c r="H147" s="0" t="s">
        <v>46</v>
      </c>
      <c r="I147" s="0" t="s">
        <v>46</v>
      </c>
      <c r="J147" s="0" t="s">
        <v>46</v>
      </c>
      <c r="K147" s="0" t="s">
        <v>46</v>
      </c>
      <c r="L147" s="0" t="s">
        <v>46</v>
      </c>
      <c r="M147" s="0" t="s">
        <v>46</v>
      </c>
      <c r="N147" s="0" t="s">
        <v>46</v>
      </c>
    </row>
    <row r="148" customFormat="false" ht="15" hidden="false" customHeight="false" outlineLevel="0" collapsed="false">
      <c r="A148" s="0" t="s">
        <v>3617</v>
      </c>
      <c r="B148" s="0" t="s">
        <v>388</v>
      </c>
      <c r="C148" s="0" t="s">
        <v>389</v>
      </c>
      <c r="D148" s="0" t="s">
        <v>390</v>
      </c>
      <c r="E148" s="0" t="s">
        <v>46</v>
      </c>
      <c r="F148" s="0" t="s">
        <v>46</v>
      </c>
      <c r="G148" s="0" t="s">
        <v>3618</v>
      </c>
      <c r="H148" s="0" t="s">
        <v>3619</v>
      </c>
      <c r="I148" s="0" t="s">
        <v>46</v>
      </c>
      <c r="J148" s="0" t="s">
        <v>46</v>
      </c>
      <c r="K148" s="0" t="s">
        <v>46</v>
      </c>
      <c r="L148" s="0" t="s">
        <v>46</v>
      </c>
      <c r="M148" s="0" t="s">
        <v>46</v>
      </c>
      <c r="N148" s="0" t="s">
        <v>46</v>
      </c>
    </row>
    <row r="149" customFormat="false" ht="15" hidden="false" customHeight="false" outlineLevel="0" collapsed="false">
      <c r="A149" s="0" t="s">
        <v>3620</v>
      </c>
      <c r="B149" s="0" t="s">
        <v>3052</v>
      </c>
      <c r="C149" s="0" t="s">
        <v>3053</v>
      </c>
      <c r="D149" s="0" t="s">
        <v>3054</v>
      </c>
      <c r="E149" s="0" t="s">
        <v>46</v>
      </c>
      <c r="F149" s="0" t="s">
        <v>3621</v>
      </c>
      <c r="G149" s="0" t="s">
        <v>3622</v>
      </c>
      <c r="H149" s="0" t="s">
        <v>3623</v>
      </c>
      <c r="I149" s="0" t="s">
        <v>46</v>
      </c>
      <c r="J149" s="0" t="s">
        <v>46</v>
      </c>
      <c r="K149" s="0" t="s">
        <v>46</v>
      </c>
      <c r="L149" s="0" t="s">
        <v>46</v>
      </c>
      <c r="M149" s="0" t="s">
        <v>46</v>
      </c>
      <c r="N149" s="0" t="s">
        <v>46</v>
      </c>
    </row>
    <row r="150" customFormat="false" ht="15" hidden="false" customHeight="false" outlineLevel="0" collapsed="false">
      <c r="A150" s="0" t="s">
        <v>3624</v>
      </c>
      <c r="B150" s="0" t="s">
        <v>336</v>
      </c>
      <c r="C150" s="0" t="s">
        <v>337</v>
      </c>
      <c r="D150" s="0" t="s">
        <v>338</v>
      </c>
      <c r="E150" s="0" t="s">
        <v>46</v>
      </c>
      <c r="F150" s="0" t="s">
        <v>3625</v>
      </c>
      <c r="G150" s="0" t="s">
        <v>3626</v>
      </c>
      <c r="H150" s="0" t="s">
        <v>3627</v>
      </c>
      <c r="I150" s="0" t="s">
        <v>46</v>
      </c>
      <c r="J150" s="0" t="s">
        <v>46</v>
      </c>
      <c r="K150" s="0" t="s">
        <v>46</v>
      </c>
      <c r="L150" s="0" t="s">
        <v>46</v>
      </c>
      <c r="M150" s="0" t="s">
        <v>46</v>
      </c>
      <c r="N150" s="0" t="s">
        <v>46</v>
      </c>
    </row>
    <row r="151" customFormat="false" ht="15" hidden="false" customHeight="false" outlineLevel="0" collapsed="false">
      <c r="A151" s="0" t="s">
        <v>3628</v>
      </c>
      <c r="B151" s="0" t="s">
        <v>2195</v>
      </c>
      <c r="C151" s="0" t="s">
        <v>2196</v>
      </c>
      <c r="D151" s="0" t="s">
        <v>2197</v>
      </c>
      <c r="E151" s="0" t="s">
        <v>2198</v>
      </c>
      <c r="F151" s="0" t="s">
        <v>46</v>
      </c>
      <c r="G151" s="0" t="s">
        <v>3629</v>
      </c>
      <c r="H151" s="0" t="s">
        <v>3630</v>
      </c>
      <c r="I151" s="0" t="str">
        <f aca="false">HYPERLINK("https://omim.org/entry/613684", "613684")</f>
        <v>613684</v>
      </c>
      <c r="J151" s="0" t="s">
        <v>46</v>
      </c>
      <c r="K151" s="0" t="s">
        <v>46</v>
      </c>
      <c r="L151" s="0" t="s">
        <v>46</v>
      </c>
      <c r="M151" s="0" t="s">
        <v>46</v>
      </c>
      <c r="N151" s="0" t="s">
        <v>46</v>
      </c>
    </row>
    <row r="152" customFormat="false" ht="15" hidden="false" customHeight="false" outlineLevel="0" collapsed="false">
      <c r="A152" s="0" t="s">
        <v>3631</v>
      </c>
      <c r="B152" s="0" t="s">
        <v>509</v>
      </c>
      <c r="C152" s="0" t="s">
        <v>510</v>
      </c>
      <c r="D152" s="0" t="s">
        <v>511</v>
      </c>
      <c r="E152" s="0" t="s">
        <v>46</v>
      </c>
      <c r="F152" s="0" t="s">
        <v>46</v>
      </c>
      <c r="G152" s="0" t="s">
        <v>3632</v>
      </c>
      <c r="H152" s="0" t="s">
        <v>46</v>
      </c>
      <c r="I152" s="0" t="s">
        <v>46</v>
      </c>
      <c r="J152" s="0" t="s">
        <v>46</v>
      </c>
      <c r="K152" s="0" t="s">
        <v>46</v>
      </c>
      <c r="L152" s="0" t="s">
        <v>46</v>
      </c>
      <c r="M152" s="0" t="s">
        <v>46</v>
      </c>
      <c r="N152" s="0" t="s">
        <v>46</v>
      </c>
    </row>
    <row r="153" customFormat="false" ht="15" hidden="false" customHeight="false" outlineLevel="0" collapsed="false">
      <c r="A153" s="0" t="s">
        <v>3633</v>
      </c>
      <c r="B153" s="0" t="s">
        <v>2630</v>
      </c>
      <c r="C153" s="0" t="s">
        <v>2631</v>
      </c>
      <c r="D153" s="0" t="s">
        <v>2632</v>
      </c>
      <c r="E153" s="0" t="s">
        <v>46</v>
      </c>
      <c r="F153" s="0" t="s">
        <v>3634</v>
      </c>
      <c r="G153" s="0" t="s">
        <v>46</v>
      </c>
      <c r="H153" s="0" t="s">
        <v>46</v>
      </c>
      <c r="I153" s="0" t="s">
        <v>46</v>
      </c>
      <c r="J153" s="0" t="s">
        <v>46</v>
      </c>
      <c r="K153" s="0" t="s">
        <v>46</v>
      </c>
      <c r="L153" s="0" t="s">
        <v>46</v>
      </c>
      <c r="M153" s="0" t="s">
        <v>46</v>
      </c>
      <c r="N153" s="0" t="s">
        <v>46</v>
      </c>
    </row>
    <row r="154" customFormat="false" ht="15" hidden="false" customHeight="false" outlineLevel="0" collapsed="false">
      <c r="A154" s="0" t="s">
        <v>3635</v>
      </c>
      <c r="B154" s="0" t="s">
        <v>1222</v>
      </c>
      <c r="C154" s="0" t="s">
        <v>1223</v>
      </c>
      <c r="D154" s="0" t="s">
        <v>1224</v>
      </c>
      <c r="E154" s="0" t="s">
        <v>46</v>
      </c>
      <c r="F154" s="0" t="s">
        <v>3636</v>
      </c>
      <c r="G154" s="0" t="s">
        <v>3637</v>
      </c>
      <c r="H154" s="0" t="s">
        <v>46</v>
      </c>
      <c r="I154" s="0" t="s">
        <v>46</v>
      </c>
      <c r="J154" s="0" t="s">
        <v>46</v>
      </c>
      <c r="K154" s="0" t="s">
        <v>46</v>
      </c>
      <c r="L154" s="0" t="s">
        <v>46</v>
      </c>
      <c r="M154" s="0" t="s">
        <v>46</v>
      </c>
      <c r="N154" s="0" t="s">
        <v>46</v>
      </c>
    </row>
    <row r="155" customFormat="false" ht="15" hidden="false" customHeight="false" outlineLevel="0" collapsed="false">
      <c r="A155" s="0" t="s">
        <v>3638</v>
      </c>
      <c r="B155" s="0" t="s">
        <v>2005</v>
      </c>
      <c r="C155" s="0" t="s">
        <v>2006</v>
      </c>
      <c r="D155" s="0" t="s">
        <v>2007</v>
      </c>
      <c r="E155" s="0" t="s">
        <v>2008</v>
      </c>
      <c r="F155" s="0" t="s">
        <v>3639</v>
      </c>
      <c r="G155" s="0" t="s">
        <v>3640</v>
      </c>
      <c r="H155" s="0" t="s">
        <v>3355</v>
      </c>
      <c r="I155" s="0" t="str">
        <f aca="false">HYPERLINK("https://omim.org/entry/193530", "193530")</f>
        <v>193530</v>
      </c>
      <c r="J155" s="0" t="s">
        <v>46</v>
      </c>
      <c r="K155" s="0" t="s">
        <v>46</v>
      </c>
      <c r="L155" s="0" t="s">
        <v>46</v>
      </c>
      <c r="M155" s="0" t="s">
        <v>46</v>
      </c>
      <c r="N155" s="0" t="s">
        <v>46</v>
      </c>
    </row>
    <row r="156" customFormat="false" ht="15" hidden="false" customHeight="false" outlineLevel="0" collapsed="false">
      <c r="A156" s="0" t="s">
        <v>3641</v>
      </c>
      <c r="B156" s="0" t="s">
        <v>1099</v>
      </c>
      <c r="C156" s="0" t="s">
        <v>1100</v>
      </c>
      <c r="D156" s="0" t="s">
        <v>1101</v>
      </c>
      <c r="E156" s="0" t="s">
        <v>46</v>
      </c>
      <c r="F156" s="0" t="s">
        <v>46</v>
      </c>
      <c r="G156" s="0" t="s">
        <v>46</v>
      </c>
      <c r="H156" s="0" t="s">
        <v>46</v>
      </c>
      <c r="I156" s="0" t="s">
        <v>46</v>
      </c>
      <c r="J156" s="0" t="s">
        <v>46</v>
      </c>
      <c r="K156" s="0" t="s">
        <v>46</v>
      </c>
      <c r="L156" s="0" t="s">
        <v>46</v>
      </c>
      <c r="M156" s="0" t="s">
        <v>46</v>
      </c>
      <c r="N156" s="0" t="s">
        <v>46</v>
      </c>
    </row>
    <row r="157" customFormat="false" ht="15" hidden="false" customHeight="false" outlineLevel="0" collapsed="false">
      <c r="A157" s="0" t="s">
        <v>3642</v>
      </c>
      <c r="B157" s="0" t="s">
        <v>2162</v>
      </c>
      <c r="C157" s="0" t="s">
        <v>2163</v>
      </c>
      <c r="D157" s="0" t="s">
        <v>2164</v>
      </c>
      <c r="E157" s="0" t="s">
        <v>46</v>
      </c>
      <c r="F157" s="0" t="s">
        <v>3643</v>
      </c>
      <c r="G157" s="0" t="s">
        <v>3644</v>
      </c>
      <c r="H157" s="0" t="s">
        <v>3645</v>
      </c>
      <c r="I157" s="0" t="s">
        <v>46</v>
      </c>
      <c r="J157" s="0" t="s">
        <v>46</v>
      </c>
      <c r="K157" s="0" t="s">
        <v>46</v>
      </c>
      <c r="L157" s="0" t="s">
        <v>46</v>
      </c>
      <c r="M157" s="0" t="s">
        <v>46</v>
      </c>
      <c r="N157" s="0" t="s">
        <v>46</v>
      </c>
    </row>
    <row r="158" customFormat="false" ht="15" hidden="false" customHeight="false" outlineLevel="0" collapsed="false">
      <c r="A158" s="0" t="s">
        <v>3646</v>
      </c>
      <c r="B158" s="0" t="s">
        <v>482</v>
      </c>
      <c r="C158" s="0" t="s">
        <v>483</v>
      </c>
      <c r="D158" s="0" t="s">
        <v>484</v>
      </c>
      <c r="E158" s="0" t="s">
        <v>46</v>
      </c>
      <c r="F158" s="0" t="s">
        <v>46</v>
      </c>
      <c r="G158" s="0" t="s">
        <v>3647</v>
      </c>
      <c r="H158" s="0" t="s">
        <v>3648</v>
      </c>
      <c r="I158" s="0" t="s">
        <v>46</v>
      </c>
      <c r="J158" s="0" t="s">
        <v>46</v>
      </c>
      <c r="K158" s="0" t="s">
        <v>46</v>
      </c>
      <c r="L158" s="0" t="s">
        <v>46</v>
      </c>
      <c r="M158" s="0" t="s">
        <v>46</v>
      </c>
      <c r="N158" s="0" t="s">
        <v>46</v>
      </c>
    </row>
    <row r="159" customFormat="false" ht="15" hidden="false" customHeight="false" outlineLevel="0" collapsed="false">
      <c r="A159" s="0" t="s">
        <v>3649</v>
      </c>
      <c r="B159" s="0" t="s">
        <v>2990</v>
      </c>
      <c r="C159" s="0" t="s">
        <v>2991</v>
      </c>
      <c r="D159" s="0" t="s">
        <v>2992</v>
      </c>
      <c r="E159" s="0" t="s">
        <v>2993</v>
      </c>
      <c r="F159" s="0" t="s">
        <v>46</v>
      </c>
      <c r="G159" s="0" t="s">
        <v>3650</v>
      </c>
      <c r="H159" s="0" t="s">
        <v>3651</v>
      </c>
      <c r="I159" s="0" t="str">
        <f aca="false">HYPERLINK("https://omim.org/entry/613225", "613225")</f>
        <v>613225</v>
      </c>
      <c r="J159" s="0" t="s">
        <v>46</v>
      </c>
      <c r="K159" s="0" t="s">
        <v>46</v>
      </c>
      <c r="L159" s="0" t="s">
        <v>46</v>
      </c>
      <c r="M159" s="0" t="s">
        <v>46</v>
      </c>
      <c r="N159" s="0" t="s">
        <v>46</v>
      </c>
    </row>
    <row r="160" customFormat="false" ht="15" hidden="false" customHeight="false" outlineLevel="0" collapsed="false">
      <c r="A160" s="0" t="s">
        <v>3652</v>
      </c>
      <c r="B160" s="0" t="s">
        <v>77</v>
      </c>
      <c r="C160" s="0" t="s">
        <v>78</v>
      </c>
      <c r="D160" s="0" t="s">
        <v>79</v>
      </c>
      <c r="E160" s="0" t="s">
        <v>80</v>
      </c>
      <c r="F160" s="0" t="s">
        <v>3236</v>
      </c>
      <c r="G160" s="0" t="s">
        <v>3653</v>
      </c>
      <c r="H160" s="0" t="s">
        <v>3654</v>
      </c>
      <c r="I160" s="0" t="str">
        <f aca="false">HYPERLINK("https://omim.org/entry/613679", "613679")</f>
        <v>613679</v>
      </c>
      <c r="J160" s="0" t="str">
        <f aca="false">HYPERLINK("https://omim.org/entry/601367", "601367")</f>
        <v>601367</v>
      </c>
      <c r="K160" s="0" t="str">
        <f aca="false">HYPERLINK("https://omim.org/entry/188050", "188050")</f>
        <v>188050</v>
      </c>
      <c r="L160" s="0" t="str">
        <f aca="false">HYPERLINK("https://omim.org/entry/614390", "614390")</f>
        <v>614390</v>
      </c>
      <c r="M160" s="0" t="s">
        <v>46</v>
      </c>
      <c r="N160" s="0" t="s">
        <v>46</v>
      </c>
    </row>
    <row r="161" customFormat="false" ht="15" hidden="false" customHeight="false" outlineLevel="0" collapsed="false">
      <c r="A161" s="0" t="s">
        <v>3655</v>
      </c>
      <c r="B161" s="0" t="s">
        <v>1973</v>
      </c>
      <c r="C161" s="0" t="s">
        <v>1974</v>
      </c>
      <c r="D161" s="0" t="s">
        <v>46</v>
      </c>
      <c r="E161" s="0" t="s">
        <v>46</v>
      </c>
      <c r="F161" s="0" t="s">
        <v>46</v>
      </c>
      <c r="G161" s="0" t="s">
        <v>3656</v>
      </c>
      <c r="H161" s="0" t="s">
        <v>3657</v>
      </c>
      <c r="I161" s="0" t="s">
        <v>46</v>
      </c>
      <c r="J161" s="0" t="s">
        <v>46</v>
      </c>
      <c r="K161" s="0" t="s">
        <v>46</v>
      </c>
      <c r="L161" s="0" t="s">
        <v>46</v>
      </c>
      <c r="M161" s="0" t="s">
        <v>46</v>
      </c>
      <c r="N161" s="0" t="s">
        <v>46</v>
      </c>
    </row>
    <row r="162" customFormat="false" ht="15" hidden="false" customHeight="false" outlineLevel="0" collapsed="false">
      <c r="A162" s="0" t="s">
        <v>3658</v>
      </c>
      <c r="B162" s="0" t="s">
        <v>2966</v>
      </c>
      <c r="C162" s="0" t="s">
        <v>2967</v>
      </c>
      <c r="D162" s="0" t="s">
        <v>46</v>
      </c>
      <c r="E162" s="0" t="s">
        <v>46</v>
      </c>
      <c r="F162" s="0" t="s">
        <v>46</v>
      </c>
      <c r="G162" s="0" t="s">
        <v>3659</v>
      </c>
      <c r="H162" s="0" t="s">
        <v>3660</v>
      </c>
      <c r="I162" s="0" t="s">
        <v>46</v>
      </c>
      <c r="J162" s="0" t="s">
        <v>46</v>
      </c>
      <c r="K162" s="0" t="s">
        <v>46</v>
      </c>
      <c r="L162" s="0" t="s">
        <v>46</v>
      </c>
      <c r="M162" s="0" t="s">
        <v>46</v>
      </c>
      <c r="N162" s="0" t="s">
        <v>46</v>
      </c>
    </row>
    <row r="163" customFormat="false" ht="15" hidden="false" customHeight="false" outlineLevel="0" collapsed="false">
      <c r="A163" s="0" t="s">
        <v>3661</v>
      </c>
      <c r="B163" s="0" t="s">
        <v>46</v>
      </c>
      <c r="C163" s="0" t="s">
        <v>1112</v>
      </c>
      <c r="D163" s="0" t="s">
        <v>46</v>
      </c>
      <c r="E163" s="0" t="s">
        <v>46</v>
      </c>
      <c r="F163" s="0" t="s">
        <v>46</v>
      </c>
      <c r="G163" s="0" t="s">
        <v>3662</v>
      </c>
      <c r="H163" s="0" t="s">
        <v>3663</v>
      </c>
      <c r="I163" s="0" t="s">
        <v>46</v>
      </c>
      <c r="J163" s="0" t="s">
        <v>46</v>
      </c>
      <c r="K163" s="0" t="s">
        <v>46</v>
      </c>
      <c r="L163" s="0" t="s">
        <v>46</v>
      </c>
      <c r="M163" s="0" t="s">
        <v>46</v>
      </c>
      <c r="N163" s="0" t="s">
        <v>46</v>
      </c>
    </row>
    <row r="164" customFormat="false" ht="15" hidden="false" customHeight="false" outlineLevel="0" collapsed="false">
      <c r="A164" s="0" t="s">
        <v>3664</v>
      </c>
      <c r="B164" s="0" t="s">
        <v>2241</v>
      </c>
      <c r="C164" s="0" t="s">
        <v>2242</v>
      </c>
      <c r="D164" s="0" t="s">
        <v>2243</v>
      </c>
      <c r="E164" s="0" t="s">
        <v>2244</v>
      </c>
      <c r="F164" s="0" t="s">
        <v>3665</v>
      </c>
      <c r="G164" s="0" t="s">
        <v>3666</v>
      </c>
      <c r="H164" s="0" t="s">
        <v>3667</v>
      </c>
      <c r="I164" s="0" t="str">
        <f aca="false">HYPERLINK("https://omim.org/entry/259775", "259775")</f>
        <v>259775</v>
      </c>
      <c r="J164" s="0" t="s">
        <v>46</v>
      </c>
      <c r="K164" s="0" t="s">
        <v>46</v>
      </c>
      <c r="L164" s="0" t="s">
        <v>46</v>
      </c>
      <c r="M164" s="0" t="s">
        <v>46</v>
      </c>
      <c r="N164" s="0" t="s">
        <v>46</v>
      </c>
    </row>
    <row r="165" customFormat="false" ht="15" hidden="false" customHeight="false" outlineLevel="0" collapsed="false">
      <c r="A165" s="0" t="s">
        <v>3668</v>
      </c>
      <c r="B165" s="0" t="s">
        <v>1555</v>
      </c>
      <c r="C165" s="0" t="s">
        <v>1556</v>
      </c>
      <c r="D165" s="0" t="s">
        <v>1557</v>
      </c>
      <c r="E165" s="0" t="s">
        <v>46</v>
      </c>
      <c r="F165" s="0" t="s">
        <v>46</v>
      </c>
      <c r="G165" s="0" t="s">
        <v>3669</v>
      </c>
      <c r="H165" s="0" t="s">
        <v>3657</v>
      </c>
      <c r="I165" s="0" t="s">
        <v>46</v>
      </c>
      <c r="J165" s="0" t="s">
        <v>46</v>
      </c>
      <c r="K165" s="0" t="s">
        <v>46</v>
      </c>
      <c r="L165" s="0" t="s">
        <v>46</v>
      </c>
      <c r="M165" s="0" t="s">
        <v>46</v>
      </c>
      <c r="N165" s="0" t="s">
        <v>46</v>
      </c>
    </row>
    <row r="166" customFormat="false" ht="15" hidden="false" customHeight="false" outlineLevel="0" collapsed="false">
      <c r="A166" s="0" t="s">
        <v>3670</v>
      </c>
      <c r="B166" s="0" t="s">
        <v>2477</v>
      </c>
      <c r="C166" s="0" t="s">
        <v>2478</v>
      </c>
      <c r="D166" s="0" t="s">
        <v>2479</v>
      </c>
      <c r="E166" s="0" t="s">
        <v>2480</v>
      </c>
      <c r="F166" s="0" t="s">
        <v>46</v>
      </c>
      <c r="G166" s="0" t="s">
        <v>3671</v>
      </c>
      <c r="H166" s="0" t="s">
        <v>3672</v>
      </c>
      <c r="I166" s="0" t="str">
        <f aca="false">HYPERLINK("https://omim.org/entry/614817", "614817")</f>
        <v>614817</v>
      </c>
      <c r="J166" s="0" t="s">
        <v>46</v>
      </c>
      <c r="K166" s="0" t="s">
        <v>46</v>
      </c>
      <c r="L166" s="0" t="s">
        <v>46</v>
      </c>
      <c r="M166" s="0" t="s">
        <v>46</v>
      </c>
      <c r="N166" s="0" t="s">
        <v>46</v>
      </c>
    </row>
    <row r="167" customFormat="false" ht="15" hidden="false" customHeight="false" outlineLevel="0" collapsed="false">
      <c r="A167" s="0" t="s">
        <v>3673</v>
      </c>
      <c r="B167" s="0" t="s">
        <v>2031</v>
      </c>
      <c r="C167" s="0" t="s">
        <v>2032</v>
      </c>
      <c r="D167" s="0" t="s">
        <v>2033</v>
      </c>
      <c r="E167" s="0" t="s">
        <v>2034</v>
      </c>
      <c r="F167" s="0" t="s">
        <v>3674</v>
      </c>
      <c r="G167" s="0" t="s">
        <v>3675</v>
      </c>
      <c r="H167" s="0" t="s">
        <v>3676</v>
      </c>
      <c r="I167" s="0" t="str">
        <f aca="false">HYPERLINK("https://omim.org/entry/616118", "616118")</f>
        <v>616118</v>
      </c>
      <c r="J167" s="0" t="s">
        <v>46</v>
      </c>
      <c r="K167" s="0" t="s">
        <v>46</v>
      </c>
      <c r="L167" s="0" t="s">
        <v>46</v>
      </c>
      <c r="M167" s="0" t="s">
        <v>46</v>
      </c>
      <c r="N167" s="0" t="s">
        <v>46</v>
      </c>
    </row>
    <row r="168" customFormat="false" ht="15" hidden="false" customHeight="false" outlineLevel="0" collapsed="false">
      <c r="A168" s="0" t="s">
        <v>3677</v>
      </c>
      <c r="B168" s="0" t="s">
        <v>3124</v>
      </c>
      <c r="C168" s="0" t="s">
        <v>3125</v>
      </c>
      <c r="D168" s="0" t="s">
        <v>3126</v>
      </c>
      <c r="E168" s="0" t="s">
        <v>3127</v>
      </c>
      <c r="F168" s="0" t="s">
        <v>3678</v>
      </c>
      <c r="G168" s="0" t="s">
        <v>46</v>
      </c>
      <c r="H168" s="0" t="s">
        <v>46</v>
      </c>
      <c r="I168" s="0" t="str">
        <f aca="false">HYPERLINK("https://omim.org/entry/229700", "229700")</f>
        <v>229700</v>
      </c>
      <c r="J168" s="0" t="s">
        <v>46</v>
      </c>
      <c r="K168" s="0" t="s">
        <v>46</v>
      </c>
      <c r="L168" s="0" t="s">
        <v>46</v>
      </c>
      <c r="M168" s="0" t="s">
        <v>46</v>
      </c>
      <c r="N168" s="0" t="s">
        <v>46</v>
      </c>
    </row>
    <row r="169" customFormat="false" ht="15" hidden="false" customHeight="false" outlineLevel="0" collapsed="false">
      <c r="A169" s="0" t="s">
        <v>3679</v>
      </c>
      <c r="B169" s="0" t="s">
        <v>1684</v>
      </c>
      <c r="C169" s="0" t="s">
        <v>1685</v>
      </c>
      <c r="D169" s="0" t="s">
        <v>1686</v>
      </c>
      <c r="E169" s="0" t="s">
        <v>46</v>
      </c>
      <c r="F169" s="0" t="s">
        <v>3680</v>
      </c>
      <c r="G169" s="0" t="s">
        <v>3681</v>
      </c>
      <c r="H169" s="0" t="s">
        <v>3206</v>
      </c>
      <c r="I169" s="0" t="s">
        <v>46</v>
      </c>
      <c r="J169" s="0" t="s">
        <v>46</v>
      </c>
      <c r="K169" s="0" t="s">
        <v>46</v>
      </c>
      <c r="L169" s="0" t="s">
        <v>46</v>
      </c>
      <c r="M169" s="0" t="s">
        <v>46</v>
      </c>
      <c r="N169" s="0" t="s">
        <v>46</v>
      </c>
    </row>
    <row r="170" customFormat="false" ht="15" hidden="false" customHeight="false" outlineLevel="0" collapsed="false">
      <c r="A170" s="0" t="s">
        <v>3682</v>
      </c>
      <c r="B170" s="0" t="s">
        <v>2449</v>
      </c>
      <c r="C170" s="0" t="s">
        <v>2450</v>
      </c>
      <c r="D170" s="0" t="s">
        <v>2451</v>
      </c>
      <c r="E170" s="0" t="s">
        <v>46</v>
      </c>
      <c r="F170" s="0" t="s">
        <v>3683</v>
      </c>
      <c r="G170" s="0" t="s">
        <v>46</v>
      </c>
      <c r="H170" s="0" t="s">
        <v>46</v>
      </c>
      <c r="I170" s="0" t="s">
        <v>46</v>
      </c>
      <c r="J170" s="0" t="s">
        <v>46</v>
      </c>
      <c r="K170" s="0" t="s">
        <v>46</v>
      </c>
      <c r="L170" s="0" t="s">
        <v>46</v>
      </c>
      <c r="M170" s="0" t="s">
        <v>46</v>
      </c>
      <c r="N170" s="0" t="s">
        <v>46</v>
      </c>
    </row>
    <row r="171" customFormat="false" ht="15" hidden="false" customHeight="false" outlineLevel="0" collapsed="false">
      <c r="A171" s="0" t="s">
        <v>3684</v>
      </c>
      <c r="B171" s="0" t="s">
        <v>2908</v>
      </c>
      <c r="C171" s="0" t="s">
        <v>2909</v>
      </c>
      <c r="D171" s="0" t="s">
        <v>2910</v>
      </c>
      <c r="E171" s="0" t="s">
        <v>2911</v>
      </c>
      <c r="F171" s="0" t="s">
        <v>3685</v>
      </c>
      <c r="G171" s="0" t="s">
        <v>3686</v>
      </c>
      <c r="H171" s="0" t="s">
        <v>3687</v>
      </c>
      <c r="I171" s="0" t="str">
        <f aca="false">HYPERLINK("https://omim.org/entry/108720", "108720")</f>
        <v>108720</v>
      </c>
      <c r="J171" s="0" t="str">
        <f aca="false">HYPERLINK("https://omim.org/entry/108721", "108721")</f>
        <v>108721</v>
      </c>
      <c r="K171" s="0" t="str">
        <f aca="false">HYPERLINK("https://omim.org/entry/112310", "112310")</f>
        <v>112310</v>
      </c>
      <c r="L171" s="0" t="str">
        <f aca="false">HYPERLINK("https://omim.org/entry/150250", "150250")</f>
        <v>150250</v>
      </c>
      <c r="M171" s="0" t="str">
        <f aca="false">HYPERLINK("https://omim.org/entry/272460", "272460")</f>
        <v>272460</v>
      </c>
      <c r="N171" s="0" t="s">
        <v>46</v>
      </c>
    </row>
    <row r="172" customFormat="false" ht="15" hidden="false" customHeight="false" outlineLevel="0" collapsed="false">
      <c r="A172" s="0" t="s">
        <v>3688</v>
      </c>
      <c r="B172" s="0" t="s">
        <v>2377</v>
      </c>
      <c r="C172" s="0" t="s">
        <v>2378</v>
      </c>
      <c r="D172" s="0" t="s">
        <v>2379</v>
      </c>
      <c r="E172" s="0" t="s">
        <v>46</v>
      </c>
      <c r="F172" s="0" t="s">
        <v>3463</v>
      </c>
      <c r="G172" s="0" t="s">
        <v>3689</v>
      </c>
      <c r="H172" s="0" t="s">
        <v>3690</v>
      </c>
      <c r="I172" s="0" t="s">
        <v>46</v>
      </c>
      <c r="J172" s="0" t="s">
        <v>46</v>
      </c>
      <c r="K172" s="0" t="s">
        <v>46</v>
      </c>
      <c r="L172" s="0" t="s">
        <v>46</v>
      </c>
      <c r="M172" s="0" t="s">
        <v>46</v>
      </c>
      <c r="N172" s="0" t="s">
        <v>46</v>
      </c>
    </row>
    <row r="173" customFormat="false" ht="15" hidden="false" customHeight="false" outlineLevel="0" collapsed="false">
      <c r="A173" s="0" t="s">
        <v>3691</v>
      </c>
      <c r="B173" s="0" t="s">
        <v>2373</v>
      </c>
      <c r="C173" s="0" t="s">
        <v>2374</v>
      </c>
      <c r="D173" s="0" t="s">
        <v>2375</v>
      </c>
      <c r="E173" s="0" t="s">
        <v>46</v>
      </c>
      <c r="F173" s="0" t="s">
        <v>3692</v>
      </c>
      <c r="G173" s="0" t="s">
        <v>3693</v>
      </c>
      <c r="H173" s="0" t="s">
        <v>3694</v>
      </c>
      <c r="I173" s="0" t="s">
        <v>46</v>
      </c>
      <c r="J173" s="0" t="s">
        <v>46</v>
      </c>
      <c r="K173" s="0" t="s">
        <v>46</v>
      </c>
      <c r="L173" s="0" t="s">
        <v>46</v>
      </c>
      <c r="M173" s="0" t="s">
        <v>46</v>
      </c>
      <c r="N173" s="0" t="s">
        <v>46</v>
      </c>
    </row>
    <row r="174" customFormat="false" ht="15" hidden="false" customHeight="false" outlineLevel="0" collapsed="false">
      <c r="A174" s="0" t="s">
        <v>3695</v>
      </c>
      <c r="B174" s="0" t="s">
        <v>250</v>
      </c>
      <c r="C174" s="0" t="s">
        <v>251</v>
      </c>
      <c r="D174" s="0" t="s">
        <v>46</v>
      </c>
      <c r="E174" s="0" t="s">
        <v>252</v>
      </c>
      <c r="F174" s="0" t="s">
        <v>3696</v>
      </c>
      <c r="G174" s="0" t="s">
        <v>3697</v>
      </c>
      <c r="H174" s="0" t="s">
        <v>3698</v>
      </c>
      <c r="I174" s="0" t="str">
        <f aca="false">HYPERLINK("https://omim.org/entry/219000", "219000")</f>
        <v>219000</v>
      </c>
      <c r="J174" s="0" t="s">
        <v>46</v>
      </c>
      <c r="K174" s="0" t="s">
        <v>46</v>
      </c>
      <c r="L174" s="0" t="s">
        <v>46</v>
      </c>
      <c r="M174" s="0" t="s">
        <v>46</v>
      </c>
      <c r="N174" s="0" t="s">
        <v>46</v>
      </c>
    </row>
    <row r="175" customFormat="false" ht="15" hidden="false" customHeight="false" outlineLevel="0" collapsed="false">
      <c r="A175" s="0" t="s">
        <v>3699</v>
      </c>
      <c r="B175" s="0" t="s">
        <v>1136</v>
      </c>
      <c r="C175" s="0" t="s">
        <v>1137</v>
      </c>
      <c r="D175" s="0" t="s">
        <v>46</v>
      </c>
      <c r="E175" s="0" t="s">
        <v>46</v>
      </c>
      <c r="F175" s="0" t="s">
        <v>46</v>
      </c>
      <c r="G175" s="0" t="s">
        <v>46</v>
      </c>
      <c r="H175" s="0" t="s">
        <v>46</v>
      </c>
      <c r="I175" s="0" t="s">
        <v>46</v>
      </c>
      <c r="J175" s="0" t="s">
        <v>46</v>
      </c>
      <c r="K175" s="0" t="s">
        <v>46</v>
      </c>
      <c r="L175" s="0" t="s">
        <v>46</v>
      </c>
      <c r="M175" s="0" t="s">
        <v>46</v>
      </c>
      <c r="N175" s="0" t="s">
        <v>46</v>
      </c>
    </row>
    <row r="176" customFormat="false" ht="15" hidden="false" customHeight="false" outlineLevel="0" collapsed="false">
      <c r="A176" s="0" t="s">
        <v>3700</v>
      </c>
      <c r="B176" s="0" t="s">
        <v>1768</v>
      </c>
      <c r="C176" s="0" t="s">
        <v>1769</v>
      </c>
      <c r="D176" s="0" t="s">
        <v>46</v>
      </c>
      <c r="E176" s="0" t="s">
        <v>46</v>
      </c>
      <c r="F176" s="0" t="s">
        <v>46</v>
      </c>
      <c r="G176" s="0" t="s">
        <v>3701</v>
      </c>
      <c r="H176" s="0" t="s">
        <v>3702</v>
      </c>
      <c r="I176" s="0" t="s">
        <v>46</v>
      </c>
      <c r="J176" s="0" t="s">
        <v>46</v>
      </c>
      <c r="K176" s="0" t="s">
        <v>46</v>
      </c>
      <c r="L176" s="0" t="s">
        <v>46</v>
      </c>
      <c r="M176" s="0" t="s">
        <v>46</v>
      </c>
      <c r="N176" s="0" t="s">
        <v>46</v>
      </c>
    </row>
    <row r="177" customFormat="false" ht="15" hidden="false" customHeight="false" outlineLevel="0" collapsed="false">
      <c r="A177" s="0" t="s">
        <v>3703</v>
      </c>
      <c r="B177" s="0" t="s">
        <v>172</v>
      </c>
      <c r="C177" s="0" t="s">
        <v>173</v>
      </c>
      <c r="D177" s="0" t="s">
        <v>174</v>
      </c>
      <c r="E177" s="0" t="s">
        <v>46</v>
      </c>
      <c r="F177" s="0" t="s">
        <v>3704</v>
      </c>
      <c r="G177" s="0" t="s">
        <v>3705</v>
      </c>
      <c r="H177" s="0" t="s">
        <v>46</v>
      </c>
      <c r="I177" s="0" t="s">
        <v>46</v>
      </c>
      <c r="J177" s="0" t="s">
        <v>46</v>
      </c>
      <c r="K177" s="0" t="s">
        <v>46</v>
      </c>
      <c r="L177" s="0" t="s">
        <v>46</v>
      </c>
      <c r="M177" s="0" t="s">
        <v>46</v>
      </c>
      <c r="N177" s="0" t="s">
        <v>46</v>
      </c>
    </row>
    <row r="178" customFormat="false" ht="15" hidden="false" customHeight="false" outlineLevel="0" collapsed="false">
      <c r="A178" s="0" t="s">
        <v>3706</v>
      </c>
      <c r="B178" s="0" t="s">
        <v>3088</v>
      </c>
      <c r="C178" s="0" t="s">
        <v>3089</v>
      </c>
      <c r="D178" s="0" t="s">
        <v>3090</v>
      </c>
      <c r="E178" s="0" t="s">
        <v>3091</v>
      </c>
      <c r="F178" s="0" t="s">
        <v>3707</v>
      </c>
      <c r="G178" s="0" t="s">
        <v>3708</v>
      </c>
      <c r="H178" s="0" t="s">
        <v>3667</v>
      </c>
      <c r="I178" s="0" t="s">
        <v>46</v>
      </c>
      <c r="J178" s="0" t="s">
        <v>46</v>
      </c>
      <c r="K178" s="0" t="s">
        <v>46</v>
      </c>
      <c r="L178" s="0" t="s">
        <v>46</v>
      </c>
      <c r="M178" s="0" t="s">
        <v>46</v>
      </c>
      <c r="N178" s="0" t="s">
        <v>46</v>
      </c>
    </row>
    <row r="179" customFormat="false" ht="15" hidden="false" customHeight="false" outlineLevel="0" collapsed="false">
      <c r="A179" s="0" t="s">
        <v>3709</v>
      </c>
      <c r="B179" s="0" t="s">
        <v>292</v>
      </c>
      <c r="C179" s="0" t="s">
        <v>293</v>
      </c>
      <c r="D179" s="0" t="s">
        <v>294</v>
      </c>
      <c r="E179" s="0" t="s">
        <v>46</v>
      </c>
      <c r="F179" s="0" t="s">
        <v>3710</v>
      </c>
      <c r="G179" s="0" t="s">
        <v>3711</v>
      </c>
      <c r="H179" s="0" t="s">
        <v>46</v>
      </c>
      <c r="I179" s="0" t="s">
        <v>46</v>
      </c>
      <c r="J179" s="0" t="s">
        <v>46</v>
      </c>
      <c r="K179" s="0" t="s">
        <v>46</v>
      </c>
      <c r="L179" s="0" t="s">
        <v>46</v>
      </c>
      <c r="M179" s="0" t="s">
        <v>46</v>
      </c>
      <c r="N179" s="0" t="s">
        <v>46</v>
      </c>
    </row>
    <row r="180" customFormat="false" ht="15" hidden="false" customHeight="false" outlineLevel="0" collapsed="false">
      <c r="A180" s="0" t="s">
        <v>3712</v>
      </c>
      <c r="B180" s="0" t="s">
        <v>3713</v>
      </c>
      <c r="C180" s="0" t="s">
        <v>3714</v>
      </c>
      <c r="D180" s="0" t="s">
        <v>3715</v>
      </c>
      <c r="E180" s="0" t="s">
        <v>46</v>
      </c>
      <c r="F180" s="0" t="s">
        <v>3716</v>
      </c>
      <c r="G180" s="0" t="s">
        <v>3717</v>
      </c>
      <c r="H180" s="0" t="s">
        <v>3718</v>
      </c>
      <c r="I180" s="0" t="s">
        <v>46</v>
      </c>
      <c r="J180" s="0" t="s">
        <v>46</v>
      </c>
      <c r="K180" s="0" t="s">
        <v>46</v>
      </c>
      <c r="L180" s="0" t="s">
        <v>46</v>
      </c>
      <c r="M180" s="0" t="s">
        <v>46</v>
      </c>
      <c r="N180" s="0" t="s">
        <v>46</v>
      </c>
    </row>
    <row r="181" customFormat="false" ht="15" hidden="false" customHeight="false" outlineLevel="0" collapsed="false">
      <c r="A181" s="0" t="s">
        <v>3719</v>
      </c>
      <c r="B181" s="0" t="s">
        <v>315</v>
      </c>
      <c r="C181" s="0" t="s">
        <v>316</v>
      </c>
      <c r="D181" s="0" t="s">
        <v>317</v>
      </c>
      <c r="E181" s="0" t="s">
        <v>318</v>
      </c>
      <c r="F181" s="0" t="s">
        <v>46</v>
      </c>
      <c r="G181" s="0" t="s">
        <v>3720</v>
      </c>
      <c r="H181" s="0" t="s">
        <v>3721</v>
      </c>
      <c r="I181" s="0" t="str">
        <f aca="false">HYPERLINK("https://omim.org/entry/609060", "609060")</f>
        <v>609060</v>
      </c>
      <c r="J181" s="0" t="s">
        <v>46</v>
      </c>
      <c r="K181" s="0" t="s">
        <v>46</v>
      </c>
      <c r="L181" s="0" t="s">
        <v>46</v>
      </c>
      <c r="M181" s="0" t="s">
        <v>46</v>
      </c>
      <c r="N181" s="0" t="s">
        <v>46</v>
      </c>
    </row>
    <row r="182" customFormat="false" ht="15" hidden="false" customHeight="false" outlineLevel="0" collapsed="false">
      <c r="A182" s="0" t="s">
        <v>3722</v>
      </c>
      <c r="B182" s="0" t="s">
        <v>1614</v>
      </c>
      <c r="C182" s="0" t="s">
        <v>1615</v>
      </c>
      <c r="D182" s="0" t="s">
        <v>1616</v>
      </c>
      <c r="E182" s="0" t="s">
        <v>1617</v>
      </c>
      <c r="F182" s="0" t="s">
        <v>3723</v>
      </c>
      <c r="G182" s="0" t="s">
        <v>3724</v>
      </c>
      <c r="H182" s="0" t="s">
        <v>46</v>
      </c>
      <c r="I182" s="0" t="str">
        <f aca="false">HYPERLINK("https://omim.org/entry/231950", "231950")</f>
        <v>231950</v>
      </c>
      <c r="J182" s="0" t="s">
        <v>46</v>
      </c>
      <c r="K182" s="0" t="s">
        <v>46</v>
      </c>
      <c r="L182" s="0" t="s">
        <v>46</v>
      </c>
      <c r="M182" s="0" t="s">
        <v>46</v>
      </c>
      <c r="N182" s="0" t="s">
        <v>46</v>
      </c>
    </row>
    <row r="183" customFormat="false" ht="15" hidden="false" customHeight="false" outlineLevel="0" collapsed="false">
      <c r="A183" s="0" t="s">
        <v>3725</v>
      </c>
      <c r="B183" s="0" t="s">
        <v>117</v>
      </c>
      <c r="C183" s="0" t="s">
        <v>118</v>
      </c>
      <c r="D183" s="0" t="s">
        <v>119</v>
      </c>
      <c r="E183" s="0" t="s">
        <v>120</v>
      </c>
      <c r="F183" s="0" t="s">
        <v>3726</v>
      </c>
      <c r="G183" s="0" t="s">
        <v>3727</v>
      </c>
      <c r="H183" s="0" t="s">
        <v>3728</v>
      </c>
      <c r="I183" s="0" t="str">
        <f aca="false">HYPERLINK("https://omim.org/entry/262500", "262500")</f>
        <v>262500</v>
      </c>
      <c r="J183" s="0" t="str">
        <f aca="false">HYPERLINK("https://omim.org/entry/604271", "604271")</f>
        <v>604271</v>
      </c>
      <c r="K183" s="0" t="s">
        <v>46</v>
      </c>
      <c r="L183" s="0" t="s">
        <v>46</v>
      </c>
      <c r="M183" s="0" t="s">
        <v>46</v>
      </c>
      <c r="N183" s="0" t="s">
        <v>46</v>
      </c>
    </row>
    <row r="184" customFormat="false" ht="15" hidden="false" customHeight="false" outlineLevel="0" collapsed="false">
      <c r="A184" s="0" t="s">
        <v>3729</v>
      </c>
      <c r="B184" s="0" t="s">
        <v>516</v>
      </c>
      <c r="C184" s="0" t="s">
        <v>517</v>
      </c>
      <c r="D184" s="0" t="s">
        <v>518</v>
      </c>
      <c r="E184" s="0" t="s">
        <v>46</v>
      </c>
      <c r="F184" s="0" t="s">
        <v>3730</v>
      </c>
      <c r="G184" s="0" t="s">
        <v>3731</v>
      </c>
      <c r="H184" s="0" t="s">
        <v>46</v>
      </c>
      <c r="I184" s="0" t="s">
        <v>46</v>
      </c>
      <c r="J184" s="0" t="s">
        <v>46</v>
      </c>
      <c r="K184" s="0" t="s">
        <v>46</v>
      </c>
      <c r="L184" s="0" t="s">
        <v>46</v>
      </c>
      <c r="M184" s="0" t="s">
        <v>46</v>
      </c>
      <c r="N184" s="0" t="s">
        <v>46</v>
      </c>
    </row>
    <row r="185" customFormat="false" ht="15" hidden="false" customHeight="false" outlineLevel="0" collapsed="false">
      <c r="A185" s="0" t="s">
        <v>3732</v>
      </c>
      <c r="B185" s="0" t="s">
        <v>2681</v>
      </c>
      <c r="C185" s="0" t="s">
        <v>2682</v>
      </c>
      <c r="D185" s="0" t="s">
        <v>2683</v>
      </c>
      <c r="E185" s="0" t="s">
        <v>2684</v>
      </c>
      <c r="F185" s="0" t="s">
        <v>3733</v>
      </c>
      <c r="G185" s="0" t="s">
        <v>3734</v>
      </c>
      <c r="H185" s="0" t="s">
        <v>3735</v>
      </c>
      <c r="I185" s="0" t="str">
        <f aca="false">HYPERLINK("https://omim.org/entry/145981", "145981")</f>
        <v>145981</v>
      </c>
      <c r="J185" s="0" t="str">
        <f aca="false">HYPERLINK("https://omim.org/entry/615361", "615361")</f>
        <v>615361</v>
      </c>
      <c r="K185" s="0" t="s">
        <v>46</v>
      </c>
      <c r="L185" s="0" t="s">
        <v>46</v>
      </c>
      <c r="M185" s="0" t="s">
        <v>46</v>
      </c>
      <c r="N185" s="0" t="s">
        <v>46</v>
      </c>
    </row>
    <row r="186" customFormat="false" ht="15" hidden="false" customHeight="false" outlineLevel="0" collapsed="false">
      <c r="A186" s="0" t="s">
        <v>3736</v>
      </c>
      <c r="B186" s="0" t="s">
        <v>3042</v>
      </c>
      <c r="C186" s="0" t="s">
        <v>3043</v>
      </c>
      <c r="D186" s="0" t="s">
        <v>3044</v>
      </c>
      <c r="E186" s="0" t="s">
        <v>46</v>
      </c>
      <c r="F186" s="0" t="s">
        <v>46</v>
      </c>
      <c r="G186" s="0" t="s">
        <v>3737</v>
      </c>
      <c r="H186" s="0" t="s">
        <v>3738</v>
      </c>
      <c r="I186" s="0" t="s">
        <v>46</v>
      </c>
      <c r="J186" s="0" t="s">
        <v>46</v>
      </c>
      <c r="K186" s="0" t="s">
        <v>46</v>
      </c>
      <c r="L186" s="0" t="s">
        <v>46</v>
      </c>
      <c r="M186" s="0" t="s">
        <v>46</v>
      </c>
      <c r="N186" s="0" t="s">
        <v>46</v>
      </c>
    </row>
    <row r="187" customFormat="false" ht="15" hidden="false" customHeight="false" outlineLevel="0" collapsed="false">
      <c r="A187" s="0" t="s">
        <v>3739</v>
      </c>
      <c r="B187" s="0" t="s">
        <v>1107</v>
      </c>
      <c r="C187" s="0" t="s">
        <v>1108</v>
      </c>
      <c r="D187" s="0" t="s">
        <v>46</v>
      </c>
      <c r="E187" s="0" t="s">
        <v>46</v>
      </c>
      <c r="F187" s="0" t="s">
        <v>46</v>
      </c>
      <c r="G187" s="0" t="s">
        <v>3740</v>
      </c>
      <c r="H187" s="0" t="s">
        <v>46</v>
      </c>
      <c r="I187" s="0" t="s">
        <v>46</v>
      </c>
      <c r="J187" s="0" t="s">
        <v>46</v>
      </c>
      <c r="K187" s="0" t="s">
        <v>46</v>
      </c>
      <c r="L187" s="0" t="s">
        <v>46</v>
      </c>
      <c r="M187" s="0" t="s">
        <v>46</v>
      </c>
      <c r="N187" s="0" t="s">
        <v>46</v>
      </c>
    </row>
    <row r="188" customFormat="false" ht="15" hidden="false" customHeight="false" outlineLevel="0" collapsed="false">
      <c r="A188" s="0" t="s">
        <v>3741</v>
      </c>
      <c r="B188" s="0" t="s">
        <v>409</v>
      </c>
      <c r="C188" s="0" t="s">
        <v>410</v>
      </c>
      <c r="D188" s="0" t="s">
        <v>411</v>
      </c>
      <c r="E188" s="0" t="s">
        <v>46</v>
      </c>
      <c r="F188" s="0" t="s">
        <v>46</v>
      </c>
      <c r="G188" s="0" t="s">
        <v>3742</v>
      </c>
      <c r="H188" s="0" t="s">
        <v>3743</v>
      </c>
      <c r="I188" s="0" t="s">
        <v>46</v>
      </c>
      <c r="J188" s="0" t="s">
        <v>46</v>
      </c>
      <c r="K188" s="0" t="s">
        <v>46</v>
      </c>
      <c r="L188" s="0" t="s">
        <v>46</v>
      </c>
      <c r="M188" s="0" t="s">
        <v>46</v>
      </c>
      <c r="N188" s="0" t="s">
        <v>46</v>
      </c>
    </row>
    <row r="189" customFormat="false" ht="15" hidden="false" customHeight="false" outlineLevel="0" collapsed="false">
      <c r="A189" s="0" t="s">
        <v>3744</v>
      </c>
      <c r="B189" s="0" t="s">
        <v>2994</v>
      </c>
      <c r="C189" s="0" t="s">
        <v>2995</v>
      </c>
      <c r="D189" s="0" t="s">
        <v>2996</v>
      </c>
      <c r="E189" s="0" t="s">
        <v>46</v>
      </c>
      <c r="F189" s="0" t="s">
        <v>3745</v>
      </c>
      <c r="G189" s="0" t="s">
        <v>46</v>
      </c>
      <c r="H189" s="0" t="s">
        <v>46</v>
      </c>
      <c r="I189" s="0" t="s">
        <v>46</v>
      </c>
      <c r="J189" s="0" t="s">
        <v>46</v>
      </c>
      <c r="K189" s="0" t="s">
        <v>46</v>
      </c>
      <c r="L189" s="0" t="s">
        <v>46</v>
      </c>
      <c r="M189" s="0" t="s">
        <v>46</v>
      </c>
      <c r="N189" s="0" t="s">
        <v>46</v>
      </c>
    </row>
    <row r="190" customFormat="false" ht="15" hidden="false" customHeight="false" outlineLevel="0" collapsed="false">
      <c r="A190" s="0" t="s">
        <v>3746</v>
      </c>
      <c r="B190" s="0" t="s">
        <v>2671</v>
      </c>
      <c r="C190" s="0" t="s">
        <v>2672</v>
      </c>
      <c r="D190" s="0" t="s">
        <v>2673</v>
      </c>
      <c r="E190" s="0" t="s">
        <v>46</v>
      </c>
      <c r="F190" s="0" t="s">
        <v>46</v>
      </c>
      <c r="G190" s="0" t="s">
        <v>3431</v>
      </c>
      <c r="H190" s="0" t="s">
        <v>46</v>
      </c>
      <c r="I190" s="0" t="s">
        <v>46</v>
      </c>
      <c r="J190" s="0" t="s">
        <v>46</v>
      </c>
      <c r="K190" s="0" t="s">
        <v>46</v>
      </c>
      <c r="L190" s="0" t="s">
        <v>46</v>
      </c>
      <c r="M190" s="0" t="s">
        <v>46</v>
      </c>
      <c r="N190" s="0" t="s">
        <v>46</v>
      </c>
    </row>
    <row r="191" customFormat="false" ht="15" hidden="false" customHeight="false" outlineLevel="0" collapsed="false">
      <c r="A191" s="0" t="s">
        <v>3747</v>
      </c>
      <c r="B191" s="0" t="s">
        <v>149</v>
      </c>
      <c r="C191" s="0" t="s">
        <v>150</v>
      </c>
      <c r="D191" s="0" t="s">
        <v>151</v>
      </c>
      <c r="E191" s="0" t="s">
        <v>152</v>
      </c>
      <c r="F191" s="0" t="s">
        <v>3748</v>
      </c>
      <c r="G191" s="0" t="s">
        <v>3749</v>
      </c>
      <c r="H191" s="0" t="s">
        <v>3750</v>
      </c>
      <c r="I191" s="0" t="str">
        <f aca="false">HYPERLINK("https://omim.org/entry/105120", "105120")</f>
        <v>105120</v>
      </c>
      <c r="J191" s="0" t="s">
        <v>46</v>
      </c>
      <c r="K191" s="0" t="s">
        <v>46</v>
      </c>
      <c r="L191" s="0" t="s">
        <v>46</v>
      </c>
      <c r="M191" s="0" t="s">
        <v>46</v>
      </c>
      <c r="N191" s="0" t="s">
        <v>46</v>
      </c>
    </row>
    <row r="192" customFormat="false" ht="15" hidden="false" customHeight="false" outlineLevel="0" collapsed="false">
      <c r="A192" s="0" t="s">
        <v>3751</v>
      </c>
      <c r="B192" s="0" t="s">
        <v>2335</v>
      </c>
      <c r="C192" s="0" t="s">
        <v>2336</v>
      </c>
      <c r="D192" s="0" t="s">
        <v>2337</v>
      </c>
      <c r="E192" s="0" t="s">
        <v>46</v>
      </c>
      <c r="F192" s="0" t="s">
        <v>46</v>
      </c>
      <c r="G192" s="0" t="s">
        <v>3752</v>
      </c>
      <c r="H192" s="0" t="s">
        <v>3753</v>
      </c>
      <c r="I192" s="0" t="s">
        <v>46</v>
      </c>
      <c r="J192" s="0" t="s">
        <v>46</v>
      </c>
      <c r="K192" s="0" t="s">
        <v>46</v>
      </c>
      <c r="L192" s="0" t="s">
        <v>46</v>
      </c>
      <c r="M192" s="0" t="s">
        <v>46</v>
      </c>
      <c r="N192" s="0" t="s">
        <v>46</v>
      </c>
    </row>
    <row r="193" customFormat="false" ht="15" hidden="false" customHeight="false" outlineLevel="0" collapsed="false">
      <c r="A193" s="0" t="s">
        <v>3754</v>
      </c>
      <c r="B193" s="0" t="s">
        <v>2708</v>
      </c>
      <c r="C193" s="0" t="s">
        <v>2709</v>
      </c>
      <c r="D193" s="0" t="s">
        <v>2710</v>
      </c>
      <c r="E193" s="0" t="s">
        <v>46</v>
      </c>
      <c r="F193" s="0" t="s">
        <v>46</v>
      </c>
      <c r="G193" s="0" t="s">
        <v>3755</v>
      </c>
      <c r="H193" s="0" t="s">
        <v>3756</v>
      </c>
      <c r="I193" s="0" t="s">
        <v>46</v>
      </c>
      <c r="J193" s="0" t="s">
        <v>46</v>
      </c>
      <c r="K193" s="0" t="s">
        <v>46</v>
      </c>
      <c r="L193" s="0" t="s">
        <v>46</v>
      </c>
      <c r="M193" s="0" t="s">
        <v>46</v>
      </c>
      <c r="N193" s="0" t="s">
        <v>46</v>
      </c>
    </row>
    <row r="194" customFormat="false" ht="15" hidden="false" customHeight="false" outlineLevel="0" collapsed="false">
      <c r="A194" s="0" t="s">
        <v>3757</v>
      </c>
      <c r="B194" s="0" t="s">
        <v>2416</v>
      </c>
      <c r="C194" s="0" t="s">
        <v>2417</v>
      </c>
      <c r="D194" s="0" t="s">
        <v>2418</v>
      </c>
      <c r="E194" s="0" t="s">
        <v>46</v>
      </c>
      <c r="F194" s="0" t="s">
        <v>46</v>
      </c>
      <c r="G194" s="0" t="s">
        <v>46</v>
      </c>
      <c r="H194" s="0" t="s">
        <v>46</v>
      </c>
      <c r="I194" s="0" t="s">
        <v>46</v>
      </c>
      <c r="J194" s="0" t="s">
        <v>46</v>
      </c>
      <c r="K194" s="0" t="s">
        <v>46</v>
      </c>
      <c r="L194" s="0" t="s">
        <v>46</v>
      </c>
      <c r="M194" s="0" t="s">
        <v>46</v>
      </c>
      <c r="N194" s="0" t="s">
        <v>46</v>
      </c>
    </row>
    <row r="195" customFormat="false" ht="15" hidden="false" customHeight="false" outlineLevel="0" collapsed="false">
      <c r="A195" s="0" t="s">
        <v>3758</v>
      </c>
      <c r="B195" s="0" t="s">
        <v>1295</v>
      </c>
      <c r="C195" s="0" t="s">
        <v>1296</v>
      </c>
      <c r="D195" s="0" t="s">
        <v>46</v>
      </c>
      <c r="E195" s="0" t="s">
        <v>1297</v>
      </c>
      <c r="F195" s="0" t="s">
        <v>3759</v>
      </c>
      <c r="G195" s="0" t="s">
        <v>3760</v>
      </c>
      <c r="H195" s="0" t="s">
        <v>3761</v>
      </c>
      <c r="I195" s="0" t="s">
        <v>46</v>
      </c>
      <c r="J195" s="0" t="s">
        <v>46</v>
      </c>
      <c r="K195" s="0" t="s">
        <v>46</v>
      </c>
      <c r="L195" s="0" t="s">
        <v>46</v>
      </c>
      <c r="M195" s="0" t="s">
        <v>46</v>
      </c>
      <c r="N195" s="0" t="s">
        <v>46</v>
      </c>
    </row>
    <row r="196" customFormat="false" ht="15" hidden="false" customHeight="false" outlineLevel="0" collapsed="false">
      <c r="A196" s="0" t="s">
        <v>3762</v>
      </c>
      <c r="B196" s="0" t="s">
        <v>424</v>
      </c>
      <c r="C196" s="0" t="s">
        <v>425</v>
      </c>
      <c r="D196" s="0" t="s">
        <v>46</v>
      </c>
      <c r="E196" s="0" t="s">
        <v>46</v>
      </c>
      <c r="F196" s="0" t="s">
        <v>46</v>
      </c>
      <c r="G196" s="0" t="s">
        <v>3763</v>
      </c>
      <c r="H196" s="0" t="s">
        <v>3764</v>
      </c>
      <c r="I196" s="0" t="s">
        <v>46</v>
      </c>
      <c r="J196" s="0" t="s">
        <v>46</v>
      </c>
      <c r="K196" s="0" t="s">
        <v>46</v>
      </c>
      <c r="L196" s="0" t="s">
        <v>46</v>
      </c>
      <c r="M196" s="0" t="s">
        <v>46</v>
      </c>
      <c r="N196" s="0" t="s">
        <v>46</v>
      </c>
    </row>
    <row r="197" customFormat="false" ht="15" hidden="false" customHeight="false" outlineLevel="0" collapsed="false">
      <c r="A197" s="0" t="s">
        <v>3765</v>
      </c>
      <c r="B197" s="0" t="s">
        <v>223</v>
      </c>
      <c r="C197" s="0" t="s">
        <v>224</v>
      </c>
      <c r="D197" s="0" t="s">
        <v>225</v>
      </c>
      <c r="E197" s="0" t="s">
        <v>226</v>
      </c>
      <c r="F197" s="0" t="s">
        <v>3766</v>
      </c>
      <c r="G197" s="0" t="s">
        <v>46</v>
      </c>
      <c r="H197" s="0" t="s">
        <v>46</v>
      </c>
      <c r="I197" s="0" t="str">
        <f aca="false">HYPERLINK("https://omim.org/entry/255800", "255800")</f>
        <v>255800</v>
      </c>
      <c r="J197" s="0" t="str">
        <f aca="false">HYPERLINK("https://omim.org/entry/224410", "224410")</f>
        <v>224410</v>
      </c>
      <c r="K197" s="0" t="s">
        <v>46</v>
      </c>
      <c r="L197" s="0" t="s">
        <v>46</v>
      </c>
      <c r="M197" s="0" t="s">
        <v>46</v>
      </c>
      <c r="N197" s="0" t="s">
        <v>46</v>
      </c>
    </row>
    <row r="198" customFormat="false" ht="15" hidden="false" customHeight="false" outlineLevel="0" collapsed="false">
      <c r="A198" s="0" t="s">
        <v>3767</v>
      </c>
      <c r="B198" s="0" t="s">
        <v>2156</v>
      </c>
      <c r="C198" s="0" t="s">
        <v>2157</v>
      </c>
      <c r="D198" s="0" t="s">
        <v>2158</v>
      </c>
      <c r="E198" s="0" t="s">
        <v>46</v>
      </c>
      <c r="F198" s="0" t="s">
        <v>3768</v>
      </c>
      <c r="G198" s="0" t="s">
        <v>3769</v>
      </c>
      <c r="H198" s="0" t="s">
        <v>3770</v>
      </c>
      <c r="I198" s="0" t="s">
        <v>46</v>
      </c>
      <c r="J198" s="0" t="s">
        <v>46</v>
      </c>
      <c r="K198" s="0" t="s">
        <v>46</v>
      </c>
      <c r="L198" s="0" t="s">
        <v>46</v>
      </c>
      <c r="M198" s="0" t="s">
        <v>46</v>
      </c>
      <c r="N198" s="0" t="s">
        <v>46</v>
      </c>
    </row>
    <row r="199" customFormat="false" ht="15" hidden="false" customHeight="false" outlineLevel="0" collapsed="false">
      <c r="A199" s="0" t="s">
        <v>3771</v>
      </c>
      <c r="B199" s="0" t="s">
        <v>46</v>
      </c>
      <c r="C199" s="0" t="s">
        <v>1230</v>
      </c>
      <c r="D199" s="0" t="s">
        <v>1231</v>
      </c>
      <c r="E199" s="0" t="s">
        <v>1232</v>
      </c>
      <c r="F199" s="0" t="s">
        <v>46</v>
      </c>
      <c r="G199" s="0" t="s">
        <v>3772</v>
      </c>
      <c r="H199" s="0" t="s">
        <v>3773</v>
      </c>
      <c r="I199" s="0" t="str">
        <f aca="false">HYPERLINK("https://omim.org/entry/608647", "608647")</f>
        <v>608647</v>
      </c>
      <c r="J199" s="0" t="s">
        <v>46</v>
      </c>
      <c r="K199" s="0" t="s">
        <v>46</v>
      </c>
      <c r="L199" s="0" t="s">
        <v>46</v>
      </c>
      <c r="M199" s="0" t="s">
        <v>46</v>
      </c>
      <c r="N199" s="0" t="s">
        <v>46</v>
      </c>
    </row>
    <row r="200" customFormat="false" ht="15" hidden="false" customHeight="false" outlineLevel="0" collapsed="false">
      <c r="A200" s="0" t="s">
        <v>3774</v>
      </c>
      <c r="B200" s="0" t="s">
        <v>2791</v>
      </c>
      <c r="C200" s="0" t="s">
        <v>2792</v>
      </c>
      <c r="D200" s="0" t="s">
        <v>46</v>
      </c>
      <c r="E200" s="0" t="s">
        <v>2793</v>
      </c>
      <c r="F200" s="0" t="s">
        <v>46</v>
      </c>
      <c r="G200" s="0" t="s">
        <v>3775</v>
      </c>
      <c r="H200" s="0" t="s">
        <v>3776</v>
      </c>
      <c r="I200" s="0" t="str">
        <f aca="false">HYPERLINK("https://omim.org/entry/137800", "137800")</f>
        <v>137800</v>
      </c>
      <c r="J200" s="0" t="s">
        <v>46</v>
      </c>
      <c r="K200" s="0" t="s">
        <v>46</v>
      </c>
      <c r="L200" s="0" t="s">
        <v>46</v>
      </c>
      <c r="M200" s="0" t="s">
        <v>46</v>
      </c>
      <c r="N200" s="0" t="s">
        <v>46</v>
      </c>
    </row>
    <row r="201" customFormat="false" ht="15" hidden="false" customHeight="false" outlineLevel="0" collapsed="false">
      <c r="A201" s="0" t="s">
        <v>3777</v>
      </c>
      <c r="B201" s="0" t="s">
        <v>2521</v>
      </c>
      <c r="C201" s="0" t="s">
        <v>2522</v>
      </c>
      <c r="D201" s="0" t="s">
        <v>2523</v>
      </c>
      <c r="E201" s="0" t="s">
        <v>2524</v>
      </c>
      <c r="F201" s="0" t="s">
        <v>46</v>
      </c>
      <c r="G201" s="0" t="s">
        <v>3778</v>
      </c>
      <c r="H201" s="0" t="s">
        <v>3206</v>
      </c>
      <c r="I201" s="0" t="str">
        <f aca="false">HYPERLINK("https://omim.org/entry/266920", "266920")</f>
        <v>266920</v>
      </c>
      <c r="J201" s="0" t="s">
        <v>46</v>
      </c>
      <c r="K201" s="0" t="s">
        <v>46</v>
      </c>
      <c r="L201" s="0" t="s">
        <v>46</v>
      </c>
      <c r="M201" s="0" t="s">
        <v>46</v>
      </c>
      <c r="N201" s="0" t="s">
        <v>46</v>
      </c>
    </row>
    <row r="202" customFormat="false" ht="15" hidden="false" customHeight="false" outlineLevel="0" collapsed="false">
      <c r="A202" s="0" t="s">
        <v>3779</v>
      </c>
      <c r="B202" s="0" t="s">
        <v>2233</v>
      </c>
      <c r="C202" s="0" t="s">
        <v>2234</v>
      </c>
      <c r="D202" s="0" t="s">
        <v>2235</v>
      </c>
      <c r="E202" s="0" t="s">
        <v>2236</v>
      </c>
      <c r="F202" s="0" t="s">
        <v>46</v>
      </c>
      <c r="G202" s="0" t="s">
        <v>3780</v>
      </c>
      <c r="H202" s="0" t="s">
        <v>46</v>
      </c>
      <c r="I202" s="0" t="str">
        <f aca="false">HYPERLINK("https://omim.org/entry/615630", "615630")</f>
        <v>615630</v>
      </c>
      <c r="J202" s="0" t="str">
        <f aca="false">HYPERLINK("https://omim.org/entry/616394", "616394")</f>
        <v>616394</v>
      </c>
      <c r="K202" s="0" t="s">
        <v>46</v>
      </c>
      <c r="L202" s="0" t="s">
        <v>46</v>
      </c>
      <c r="M202" s="0" t="s">
        <v>46</v>
      </c>
      <c r="N202" s="0" t="s">
        <v>46</v>
      </c>
    </row>
    <row r="203" customFormat="false" ht="15" hidden="false" customHeight="false" outlineLevel="0" collapsed="false">
      <c r="A203" s="0" t="s">
        <v>3781</v>
      </c>
      <c r="B203" s="0" t="s">
        <v>89</v>
      </c>
      <c r="C203" s="0" t="s">
        <v>90</v>
      </c>
      <c r="D203" s="0" t="s">
        <v>91</v>
      </c>
      <c r="E203" s="0" t="s">
        <v>92</v>
      </c>
      <c r="F203" s="0" t="s">
        <v>3782</v>
      </c>
      <c r="G203" s="0" t="s">
        <v>3783</v>
      </c>
      <c r="H203" s="0" t="s">
        <v>3784</v>
      </c>
      <c r="I203" s="0" t="str">
        <f aca="false">HYPERLINK("https://omim.org/entry/270450", "270450")</f>
        <v>270450</v>
      </c>
      <c r="J203" s="0" t="s">
        <v>46</v>
      </c>
      <c r="K203" s="0" t="s">
        <v>46</v>
      </c>
      <c r="L203" s="0" t="s">
        <v>46</v>
      </c>
      <c r="M203" s="0" t="s">
        <v>46</v>
      </c>
      <c r="N203" s="0" t="s">
        <v>46</v>
      </c>
    </row>
    <row r="204" customFormat="false" ht="15" hidden="false" customHeight="false" outlineLevel="0" collapsed="false">
      <c r="A204" s="0" t="s">
        <v>3785</v>
      </c>
      <c r="B204" s="0" t="s">
        <v>582</v>
      </c>
      <c r="C204" s="0" t="s">
        <v>583</v>
      </c>
      <c r="D204" s="0" t="s">
        <v>46</v>
      </c>
      <c r="E204" s="0" t="s">
        <v>46</v>
      </c>
      <c r="F204" s="0" t="s">
        <v>3786</v>
      </c>
      <c r="G204" s="0" t="s">
        <v>3787</v>
      </c>
      <c r="H204" s="0" t="s">
        <v>3788</v>
      </c>
      <c r="I204" s="0" t="s">
        <v>46</v>
      </c>
      <c r="J204" s="0" t="s">
        <v>46</v>
      </c>
      <c r="K204" s="0" t="s">
        <v>46</v>
      </c>
      <c r="L204" s="0" t="s">
        <v>46</v>
      </c>
      <c r="M204" s="0" t="s">
        <v>46</v>
      </c>
      <c r="N204" s="0" t="s">
        <v>46</v>
      </c>
    </row>
    <row r="205" customFormat="false" ht="15" hidden="false" customHeight="false" outlineLevel="0" collapsed="false">
      <c r="A205" s="0" t="s">
        <v>3789</v>
      </c>
      <c r="B205" s="0" t="s">
        <v>657</v>
      </c>
      <c r="C205" s="0" t="s">
        <v>658</v>
      </c>
      <c r="D205" s="0" t="s">
        <v>659</v>
      </c>
      <c r="E205" s="0" t="s">
        <v>46</v>
      </c>
      <c r="F205" s="0" t="s">
        <v>3790</v>
      </c>
      <c r="G205" s="0" t="s">
        <v>3791</v>
      </c>
      <c r="H205" s="0" t="s">
        <v>3792</v>
      </c>
      <c r="I205" s="0" t="s">
        <v>46</v>
      </c>
      <c r="J205" s="0" t="s">
        <v>46</v>
      </c>
      <c r="K205" s="0" t="s">
        <v>46</v>
      </c>
      <c r="L205" s="0" t="s">
        <v>46</v>
      </c>
      <c r="M205" s="0" t="s">
        <v>46</v>
      </c>
      <c r="N205" s="0" t="s">
        <v>46</v>
      </c>
    </row>
    <row r="206" customFormat="false" ht="15" hidden="false" customHeight="false" outlineLevel="0" collapsed="false">
      <c r="A206" s="0" t="s">
        <v>3793</v>
      </c>
      <c r="B206" s="0" t="s">
        <v>1333</v>
      </c>
      <c r="C206" s="0" t="s">
        <v>1334</v>
      </c>
      <c r="D206" s="0" t="s">
        <v>1335</v>
      </c>
      <c r="E206" s="0" t="s">
        <v>46</v>
      </c>
      <c r="F206" s="0" t="s">
        <v>46</v>
      </c>
      <c r="G206" s="0" t="s">
        <v>3794</v>
      </c>
      <c r="H206" s="0" t="s">
        <v>46</v>
      </c>
      <c r="I206" s="0" t="s">
        <v>46</v>
      </c>
      <c r="J206" s="0" t="s">
        <v>46</v>
      </c>
      <c r="K206" s="0" t="s">
        <v>46</v>
      </c>
      <c r="L206" s="0" t="s">
        <v>46</v>
      </c>
      <c r="M206" s="0" t="s">
        <v>46</v>
      </c>
      <c r="N206" s="0" t="s">
        <v>46</v>
      </c>
    </row>
    <row r="207" customFormat="false" ht="15" hidden="false" customHeight="false" outlineLevel="0" collapsed="false">
      <c r="A207" s="0" t="s">
        <v>3795</v>
      </c>
      <c r="B207" s="0" t="s">
        <v>832</v>
      </c>
      <c r="C207" s="0" t="s">
        <v>833</v>
      </c>
      <c r="D207" s="0" t="s">
        <v>834</v>
      </c>
      <c r="E207" s="0" t="s">
        <v>46</v>
      </c>
      <c r="F207" s="0" t="s">
        <v>3796</v>
      </c>
      <c r="G207" s="0" t="s">
        <v>3797</v>
      </c>
      <c r="H207" s="0" t="s">
        <v>3798</v>
      </c>
      <c r="I207" s="0" t="s">
        <v>46</v>
      </c>
      <c r="J207" s="0" t="s">
        <v>46</v>
      </c>
      <c r="K207" s="0" t="s">
        <v>46</v>
      </c>
      <c r="L207" s="0" t="s">
        <v>46</v>
      </c>
      <c r="M207" s="0" t="s">
        <v>46</v>
      </c>
      <c r="N207" s="0" t="s">
        <v>46</v>
      </c>
    </row>
    <row r="208" customFormat="false" ht="15" hidden="false" customHeight="false" outlineLevel="0" collapsed="false">
      <c r="A208" s="0" t="s">
        <v>3799</v>
      </c>
      <c r="B208" s="0" t="s">
        <v>1636</v>
      </c>
      <c r="C208" s="0" t="s">
        <v>1637</v>
      </c>
      <c r="D208" s="0" t="s">
        <v>1638</v>
      </c>
      <c r="E208" s="0" t="s">
        <v>46</v>
      </c>
      <c r="F208" s="0" t="s">
        <v>46</v>
      </c>
      <c r="G208" s="0" t="s">
        <v>3800</v>
      </c>
      <c r="H208" s="0" t="s">
        <v>3801</v>
      </c>
      <c r="I208" s="0" t="s">
        <v>46</v>
      </c>
      <c r="J208" s="0" t="s">
        <v>46</v>
      </c>
      <c r="K208" s="0" t="s">
        <v>46</v>
      </c>
      <c r="L208" s="0" t="s">
        <v>46</v>
      </c>
      <c r="M208" s="0" t="s">
        <v>46</v>
      </c>
      <c r="N208" s="0" t="s">
        <v>46</v>
      </c>
    </row>
    <row r="209" customFormat="false" ht="15" hidden="false" customHeight="false" outlineLevel="0" collapsed="false">
      <c r="A209" s="0" t="s">
        <v>3802</v>
      </c>
      <c r="B209" s="0" t="s">
        <v>523</v>
      </c>
      <c r="C209" s="0" t="s">
        <v>524</v>
      </c>
      <c r="D209" s="0" t="s">
        <v>525</v>
      </c>
      <c r="E209" s="0" t="s">
        <v>46</v>
      </c>
      <c r="F209" s="0" t="s">
        <v>3803</v>
      </c>
      <c r="G209" s="0" t="s">
        <v>46</v>
      </c>
      <c r="H209" s="0" t="s">
        <v>46</v>
      </c>
      <c r="I209" s="0" t="s">
        <v>46</v>
      </c>
      <c r="J209" s="0" t="s">
        <v>46</v>
      </c>
      <c r="K209" s="0" t="s">
        <v>46</v>
      </c>
      <c r="L209" s="0" t="s">
        <v>46</v>
      </c>
      <c r="M209" s="0" t="s">
        <v>46</v>
      </c>
      <c r="N209" s="0" t="s">
        <v>46</v>
      </c>
    </row>
    <row r="210" customFormat="false" ht="15" hidden="false" customHeight="false" outlineLevel="0" collapsed="false">
      <c r="A210" s="0" t="s">
        <v>3804</v>
      </c>
      <c r="B210" s="0" t="s">
        <v>46</v>
      </c>
      <c r="C210" s="0" t="s">
        <v>1210</v>
      </c>
      <c r="D210" s="0" t="s">
        <v>1211</v>
      </c>
      <c r="E210" s="0" t="s">
        <v>1212</v>
      </c>
      <c r="F210" s="0" t="s">
        <v>46</v>
      </c>
      <c r="G210" s="0" t="s">
        <v>3805</v>
      </c>
      <c r="H210" s="0" t="s">
        <v>3806</v>
      </c>
      <c r="I210" s="0" t="str">
        <f aca="false">HYPERLINK("https://omim.org/entry/611174", "611174")</f>
        <v>611174</v>
      </c>
      <c r="J210" s="0" t="s">
        <v>46</v>
      </c>
      <c r="K210" s="0" t="s">
        <v>46</v>
      </c>
      <c r="L210" s="0" t="s">
        <v>46</v>
      </c>
      <c r="M210" s="0" t="s">
        <v>46</v>
      </c>
      <c r="N210" s="0" t="s">
        <v>46</v>
      </c>
    </row>
    <row r="211" customFormat="false" ht="15" hidden="false" customHeight="false" outlineLevel="0" collapsed="false">
      <c r="A211" s="0" t="s">
        <v>3807</v>
      </c>
      <c r="B211" s="0" t="s">
        <v>1489</v>
      </c>
      <c r="C211" s="0" t="s">
        <v>1490</v>
      </c>
      <c r="D211" s="0" t="s">
        <v>1491</v>
      </c>
      <c r="E211" s="0" t="s">
        <v>1492</v>
      </c>
      <c r="F211" s="0" t="s">
        <v>3808</v>
      </c>
      <c r="G211" s="0" t="s">
        <v>3809</v>
      </c>
      <c r="H211" s="0" t="s">
        <v>46</v>
      </c>
      <c r="I211" s="0" t="str">
        <f aca="false">HYPERLINK("https://omim.org/entry/226730", "226730")</f>
        <v>226730</v>
      </c>
      <c r="J211" s="0" t="s">
        <v>46</v>
      </c>
      <c r="K211" s="0" t="s">
        <v>46</v>
      </c>
      <c r="L211" s="0" t="s">
        <v>46</v>
      </c>
      <c r="M211" s="0" t="s">
        <v>46</v>
      </c>
      <c r="N211" s="0" t="s">
        <v>46</v>
      </c>
    </row>
    <row r="212" customFormat="false" ht="15" hidden="false" customHeight="false" outlineLevel="0" collapsed="false">
      <c r="A212" s="0" t="s">
        <v>3810</v>
      </c>
      <c r="B212" s="0" t="s">
        <v>2390</v>
      </c>
      <c r="C212" s="0" t="s">
        <v>2391</v>
      </c>
      <c r="D212" s="0" t="s">
        <v>2392</v>
      </c>
      <c r="E212" s="0" t="s">
        <v>2393</v>
      </c>
      <c r="F212" s="0" t="s">
        <v>3811</v>
      </c>
      <c r="G212" s="0" t="s">
        <v>3812</v>
      </c>
      <c r="H212" s="0" t="s">
        <v>3813</v>
      </c>
      <c r="I212" s="0" t="str">
        <f aca="false">HYPERLINK("https://omim.org/entry/613204", "613204")</f>
        <v>613204</v>
      </c>
      <c r="J212" s="0" t="s">
        <v>46</v>
      </c>
      <c r="K212" s="0" t="s">
        <v>46</v>
      </c>
      <c r="L212" s="0" t="s">
        <v>46</v>
      </c>
      <c r="M212" s="0" t="s">
        <v>46</v>
      </c>
      <c r="N212" s="0" t="s">
        <v>46</v>
      </c>
    </row>
    <row r="213" customFormat="false" ht="15" hidden="false" customHeight="false" outlineLevel="0" collapsed="false">
      <c r="A213" s="0" t="s">
        <v>3814</v>
      </c>
      <c r="B213" s="0" t="s">
        <v>2877</v>
      </c>
      <c r="C213" s="0" t="s">
        <v>2878</v>
      </c>
      <c r="D213" s="0" t="s">
        <v>2879</v>
      </c>
      <c r="E213" s="0" t="s">
        <v>2880</v>
      </c>
      <c r="F213" s="0" t="s">
        <v>3463</v>
      </c>
      <c r="G213" s="0" t="s">
        <v>3815</v>
      </c>
      <c r="H213" s="0" t="s">
        <v>3816</v>
      </c>
      <c r="I213" s="0" t="str">
        <f aca="false">HYPERLINK("https://omim.org/entry/606658", "606658")</f>
        <v>606658</v>
      </c>
      <c r="J213" s="0" t="str">
        <f aca="false">HYPERLINK("https://omim.org/entry/117360", "117360")</f>
        <v>117360</v>
      </c>
      <c r="K213" s="0" t="s">
        <v>46</v>
      </c>
      <c r="L213" s="0" t="s">
        <v>46</v>
      </c>
      <c r="M213" s="0" t="s">
        <v>46</v>
      </c>
      <c r="N213" s="0" t="s">
        <v>46</v>
      </c>
    </row>
    <row r="214" customFormat="false" ht="15" hidden="false" customHeight="false" outlineLevel="0" collapsed="false">
      <c r="A214" s="0" t="s">
        <v>3817</v>
      </c>
      <c r="B214" s="0" t="s">
        <v>2677</v>
      </c>
      <c r="C214" s="0" t="s">
        <v>2678</v>
      </c>
      <c r="D214" s="0" t="s">
        <v>46</v>
      </c>
      <c r="E214" s="0" t="s">
        <v>46</v>
      </c>
      <c r="F214" s="0" t="s">
        <v>3818</v>
      </c>
      <c r="G214" s="0" t="s">
        <v>3819</v>
      </c>
      <c r="H214" s="0" t="s">
        <v>3820</v>
      </c>
      <c r="I214" s="0" t="s">
        <v>46</v>
      </c>
      <c r="J214" s="0" t="s">
        <v>46</v>
      </c>
      <c r="K214" s="0" t="s">
        <v>46</v>
      </c>
      <c r="L214" s="0" t="s">
        <v>46</v>
      </c>
      <c r="M214" s="0" t="s">
        <v>46</v>
      </c>
      <c r="N214" s="0" t="s">
        <v>46</v>
      </c>
    </row>
    <row r="215" customFormat="false" ht="15" hidden="false" customHeight="false" outlineLevel="0" collapsed="false">
      <c r="A215" s="0" t="s">
        <v>3821</v>
      </c>
      <c r="B215" s="0" t="s">
        <v>1457</v>
      </c>
      <c r="C215" s="0" t="s">
        <v>1458</v>
      </c>
      <c r="D215" s="0" t="s">
        <v>1459</v>
      </c>
      <c r="E215" s="0" t="s">
        <v>46</v>
      </c>
      <c r="F215" s="0" t="s">
        <v>46</v>
      </c>
      <c r="G215" s="0" t="s">
        <v>46</v>
      </c>
      <c r="H215" s="0" t="s">
        <v>46</v>
      </c>
      <c r="I215" s="0" t="s">
        <v>46</v>
      </c>
      <c r="J215" s="0" t="s">
        <v>46</v>
      </c>
      <c r="K215" s="0" t="s">
        <v>46</v>
      </c>
      <c r="L215" s="0" t="s">
        <v>46</v>
      </c>
      <c r="M215" s="0" t="s">
        <v>46</v>
      </c>
      <c r="N215" s="0" t="s">
        <v>46</v>
      </c>
    </row>
    <row r="216" customFormat="false" ht="15" hidden="false" customHeight="false" outlineLevel="0" collapsed="false">
      <c r="A216" s="0" t="s">
        <v>3822</v>
      </c>
      <c r="B216" s="0" t="s">
        <v>1398</v>
      </c>
      <c r="C216" s="0" t="s">
        <v>1399</v>
      </c>
      <c r="D216" s="0" t="s">
        <v>1400</v>
      </c>
      <c r="E216" s="0" t="s">
        <v>1401</v>
      </c>
      <c r="F216" s="0" t="s">
        <v>3823</v>
      </c>
      <c r="G216" s="0" t="s">
        <v>3824</v>
      </c>
      <c r="H216" s="0" t="s">
        <v>3825</v>
      </c>
      <c r="I216" s="0" t="str">
        <f aca="false">HYPERLINK("https://omim.org/entry/194380", "194380")</f>
        <v>194380</v>
      </c>
      <c r="J216" s="0" t="s">
        <v>46</v>
      </c>
      <c r="K216" s="0" t="s">
        <v>46</v>
      </c>
      <c r="L216" s="0" t="s">
        <v>46</v>
      </c>
      <c r="M216" s="0" t="s">
        <v>46</v>
      </c>
      <c r="N216" s="0" t="s">
        <v>46</v>
      </c>
    </row>
    <row r="217" customFormat="false" ht="15" hidden="false" customHeight="false" outlineLevel="0" collapsed="false">
      <c r="A217" s="0" t="s">
        <v>3826</v>
      </c>
      <c r="B217" s="0" t="s">
        <v>1792</v>
      </c>
      <c r="C217" s="0" t="s">
        <v>1793</v>
      </c>
      <c r="D217" s="0" t="s">
        <v>1794</v>
      </c>
      <c r="E217" s="0" t="s">
        <v>46</v>
      </c>
      <c r="F217" s="0" t="s">
        <v>46</v>
      </c>
      <c r="G217" s="0" t="s">
        <v>46</v>
      </c>
      <c r="H217" s="0" t="s">
        <v>46</v>
      </c>
      <c r="I217" s="0" t="s">
        <v>46</v>
      </c>
      <c r="J217" s="0" t="s">
        <v>46</v>
      </c>
      <c r="K217" s="0" t="s">
        <v>46</v>
      </c>
      <c r="L217" s="0" t="s">
        <v>46</v>
      </c>
      <c r="M217" s="0" t="s">
        <v>46</v>
      </c>
      <c r="N217" s="0" t="s">
        <v>46</v>
      </c>
    </row>
    <row r="218" customFormat="false" ht="15" hidden="false" customHeight="false" outlineLevel="0" collapsed="false">
      <c r="A218" s="0" t="s">
        <v>3827</v>
      </c>
      <c r="B218" s="0" t="s">
        <v>909</v>
      </c>
      <c r="C218" s="0" t="s">
        <v>910</v>
      </c>
      <c r="D218" s="0" t="s">
        <v>911</v>
      </c>
      <c r="E218" s="0" t="s">
        <v>46</v>
      </c>
      <c r="F218" s="0" t="s">
        <v>46</v>
      </c>
      <c r="G218" s="0" t="s">
        <v>3828</v>
      </c>
      <c r="H218" s="0" t="s">
        <v>3829</v>
      </c>
      <c r="I218" s="0" t="s">
        <v>46</v>
      </c>
      <c r="J218" s="0" t="s">
        <v>46</v>
      </c>
      <c r="K218" s="0" t="s">
        <v>46</v>
      </c>
      <c r="L218" s="0" t="s">
        <v>46</v>
      </c>
      <c r="M218" s="0" t="s">
        <v>46</v>
      </c>
      <c r="N218" s="0" t="s">
        <v>46</v>
      </c>
    </row>
    <row r="219" customFormat="false" ht="15" hidden="false" customHeight="false" outlineLevel="0" collapsed="false">
      <c r="A219" s="0" t="s">
        <v>1546</v>
      </c>
      <c r="B219" s="0" t="s">
        <v>1545</v>
      </c>
      <c r="C219" s="0" t="s">
        <v>1546</v>
      </c>
      <c r="D219" s="0" t="s">
        <v>46</v>
      </c>
      <c r="E219" s="0" t="s">
        <v>46</v>
      </c>
      <c r="F219" s="0" t="s">
        <v>46</v>
      </c>
      <c r="G219" s="0" t="s">
        <v>3830</v>
      </c>
      <c r="H219" s="0" t="s">
        <v>3477</v>
      </c>
      <c r="I219" s="0" t="s">
        <v>46</v>
      </c>
      <c r="J219" s="0" t="s">
        <v>46</v>
      </c>
      <c r="K219" s="0" t="s">
        <v>46</v>
      </c>
      <c r="L219" s="0" t="s">
        <v>46</v>
      </c>
      <c r="M219" s="0" t="s">
        <v>46</v>
      </c>
      <c r="N219" s="0" t="s">
        <v>46</v>
      </c>
    </row>
    <row r="220" customFormat="false" ht="15" hidden="false" customHeight="false" outlineLevel="0" collapsed="false">
      <c r="A220" s="0" t="s">
        <v>3159</v>
      </c>
      <c r="B220" s="0" t="s">
        <v>3158</v>
      </c>
      <c r="C220" s="0" t="s">
        <v>3159</v>
      </c>
      <c r="D220" s="0" t="s">
        <v>3160</v>
      </c>
      <c r="E220" s="0" t="s">
        <v>3161</v>
      </c>
      <c r="F220" s="0" t="s">
        <v>46</v>
      </c>
      <c r="G220" s="0" t="s">
        <v>3831</v>
      </c>
      <c r="H220" s="0" t="s">
        <v>3832</v>
      </c>
      <c r="I220" s="0" t="str">
        <f aca="false">HYPERLINK("https://omim.org/entry/300912", "300912")</f>
        <v>300912</v>
      </c>
      <c r="J220" s="0" t="s">
        <v>46</v>
      </c>
      <c r="K220" s="0" t="s">
        <v>46</v>
      </c>
      <c r="L220" s="0" t="s">
        <v>46</v>
      </c>
      <c r="M220" s="0" t="s">
        <v>46</v>
      </c>
      <c r="N220" s="0" t="s">
        <v>46</v>
      </c>
    </row>
    <row r="221" customFormat="false" ht="15" hidden="false" customHeight="false" outlineLevel="0" collapsed="false">
      <c r="A221" s="0" t="s">
        <v>3833</v>
      </c>
      <c r="B221" s="0" t="s">
        <v>2251</v>
      </c>
      <c r="C221" s="0" t="s">
        <v>2252</v>
      </c>
      <c r="D221" s="0" t="s">
        <v>2253</v>
      </c>
      <c r="E221" s="0" t="s">
        <v>2254</v>
      </c>
      <c r="F221" s="0" t="s">
        <v>3834</v>
      </c>
      <c r="G221" s="0" t="s">
        <v>3835</v>
      </c>
      <c r="H221" s="0" t="s">
        <v>3836</v>
      </c>
      <c r="I221" s="0" t="str">
        <f aca="false">HYPERLINK("https://omim.org/entry/256700", "256700")</f>
        <v>256700</v>
      </c>
      <c r="J221" s="0" t="str">
        <f aca="false">HYPERLINK("https://omim.org/entry/171300", "171300")</f>
        <v>171300</v>
      </c>
      <c r="K221" s="0" t="s">
        <v>46</v>
      </c>
      <c r="L221" s="0" t="s">
        <v>46</v>
      </c>
      <c r="M221" s="0" t="s">
        <v>46</v>
      </c>
      <c r="N221" s="0" t="s">
        <v>46</v>
      </c>
    </row>
    <row r="222" customFormat="false" ht="15" hidden="false" customHeight="false" outlineLevel="0" collapsed="false">
      <c r="A222" s="0" t="s">
        <v>3837</v>
      </c>
      <c r="B222" s="0" t="s">
        <v>305</v>
      </c>
      <c r="C222" s="0" t="s">
        <v>306</v>
      </c>
      <c r="D222" s="0" t="s">
        <v>307</v>
      </c>
      <c r="E222" s="0" t="s">
        <v>308</v>
      </c>
      <c r="F222" s="0" t="s">
        <v>3838</v>
      </c>
      <c r="G222" s="0" t="s">
        <v>3839</v>
      </c>
      <c r="H222" s="0" t="s">
        <v>3840</v>
      </c>
      <c r="I222" s="0" t="str">
        <f aca="false">HYPERLINK("https://omim.org/entry/611302", "611302")</f>
        <v>611302</v>
      </c>
      <c r="J222" s="0" t="s">
        <v>46</v>
      </c>
      <c r="K222" s="0" t="s">
        <v>46</v>
      </c>
      <c r="L222" s="0" t="s">
        <v>46</v>
      </c>
      <c r="M222" s="0" t="s">
        <v>46</v>
      </c>
      <c r="N222" s="0" t="s">
        <v>46</v>
      </c>
    </row>
    <row r="223" customFormat="false" ht="15" hidden="false" customHeight="false" outlineLevel="0" collapsed="false">
      <c r="A223" s="0" t="s">
        <v>3841</v>
      </c>
      <c r="B223" s="0" t="s">
        <v>2466</v>
      </c>
      <c r="C223" s="0" t="s">
        <v>2467</v>
      </c>
      <c r="D223" s="0" t="s">
        <v>2468</v>
      </c>
      <c r="E223" s="0" t="s">
        <v>46</v>
      </c>
      <c r="F223" s="0" t="s">
        <v>46</v>
      </c>
      <c r="G223" s="0" t="s">
        <v>3842</v>
      </c>
      <c r="H223" s="0" t="s">
        <v>3843</v>
      </c>
      <c r="I223" s="0" t="s">
        <v>46</v>
      </c>
      <c r="J223" s="0" t="s">
        <v>46</v>
      </c>
      <c r="K223" s="0" t="s">
        <v>46</v>
      </c>
      <c r="L223" s="0" t="s">
        <v>46</v>
      </c>
      <c r="M223" s="0" t="s">
        <v>46</v>
      </c>
      <c r="N223" s="0" t="s">
        <v>46</v>
      </c>
    </row>
    <row r="224" customFormat="false" ht="15" hidden="false" customHeight="false" outlineLevel="0" collapsed="false">
      <c r="A224" s="0" t="s">
        <v>3844</v>
      </c>
      <c r="B224" s="0" t="s">
        <v>2785</v>
      </c>
      <c r="C224" s="0" t="s">
        <v>2786</v>
      </c>
      <c r="D224" s="0" t="s">
        <v>2787</v>
      </c>
      <c r="E224" s="0" t="s">
        <v>2788</v>
      </c>
      <c r="F224" s="0" t="s">
        <v>3845</v>
      </c>
      <c r="G224" s="0" t="s">
        <v>46</v>
      </c>
      <c r="H224" s="0" t="s">
        <v>46</v>
      </c>
      <c r="I224" s="0" t="str">
        <f aca="false">HYPERLINK("https://omim.org/entry/615282", "615282")</f>
        <v>615282</v>
      </c>
      <c r="J224" s="0" t="s">
        <v>46</v>
      </c>
      <c r="K224" s="0" t="s">
        <v>46</v>
      </c>
      <c r="L224" s="0" t="s">
        <v>46</v>
      </c>
      <c r="M224" s="0" t="s">
        <v>46</v>
      </c>
      <c r="N224" s="0" t="s">
        <v>46</v>
      </c>
    </row>
    <row r="225" customFormat="false" ht="15" hidden="false" customHeight="false" outlineLevel="0" collapsed="false">
      <c r="A225" s="0" t="s">
        <v>3846</v>
      </c>
      <c r="B225" s="0" t="s">
        <v>3847</v>
      </c>
      <c r="C225" s="0" t="s">
        <v>3848</v>
      </c>
      <c r="D225" s="0" t="s">
        <v>3849</v>
      </c>
      <c r="E225" s="0" t="s">
        <v>46</v>
      </c>
      <c r="F225" s="0" t="s">
        <v>46</v>
      </c>
      <c r="G225" s="0" t="s">
        <v>3850</v>
      </c>
      <c r="H225" s="0" t="s">
        <v>3244</v>
      </c>
      <c r="I225" s="0" t="s">
        <v>46</v>
      </c>
      <c r="J225" s="0" t="s">
        <v>46</v>
      </c>
      <c r="K225" s="0" t="s">
        <v>46</v>
      </c>
      <c r="L225" s="0" t="s">
        <v>46</v>
      </c>
      <c r="M225" s="0" t="s">
        <v>46</v>
      </c>
      <c r="N225" s="0" t="s">
        <v>46</v>
      </c>
    </row>
    <row r="226" customFormat="false" ht="15" hidden="false" customHeight="false" outlineLevel="0" collapsed="false">
      <c r="A226" s="0" t="s">
        <v>3851</v>
      </c>
      <c r="B226" s="0" t="s">
        <v>3852</v>
      </c>
      <c r="C226" s="0" t="s">
        <v>3853</v>
      </c>
      <c r="D226" s="0" t="s">
        <v>3854</v>
      </c>
      <c r="E226" s="0" t="s">
        <v>46</v>
      </c>
      <c r="F226" s="0" t="s">
        <v>46</v>
      </c>
      <c r="G226" s="0" t="s">
        <v>46</v>
      </c>
      <c r="H226" s="0" t="s">
        <v>46</v>
      </c>
      <c r="I226" s="0" t="s">
        <v>46</v>
      </c>
      <c r="J226" s="0" t="s">
        <v>46</v>
      </c>
      <c r="K226" s="0" t="s">
        <v>46</v>
      </c>
      <c r="L226" s="0" t="s">
        <v>46</v>
      </c>
      <c r="M226" s="0" t="s">
        <v>46</v>
      </c>
      <c r="N226" s="0" t="s">
        <v>46</v>
      </c>
    </row>
    <row r="227" customFormat="false" ht="15" hidden="false" customHeight="false" outlineLevel="0" collapsed="false">
      <c r="A227" s="0" t="s">
        <v>3855</v>
      </c>
      <c r="B227" s="0" t="s">
        <v>2738</v>
      </c>
      <c r="C227" s="0" t="s">
        <v>2739</v>
      </c>
      <c r="D227" s="0" t="s">
        <v>2740</v>
      </c>
      <c r="E227" s="0" t="s">
        <v>46</v>
      </c>
      <c r="F227" s="0" t="s">
        <v>46</v>
      </c>
      <c r="G227" s="0" t="s">
        <v>46</v>
      </c>
      <c r="H227" s="0" t="s">
        <v>46</v>
      </c>
      <c r="I227" s="0" t="s">
        <v>46</v>
      </c>
      <c r="J227" s="0" t="s">
        <v>46</v>
      </c>
      <c r="K227" s="0" t="s">
        <v>46</v>
      </c>
      <c r="L227" s="0" t="s">
        <v>46</v>
      </c>
      <c r="M227" s="0" t="s">
        <v>46</v>
      </c>
      <c r="N227" s="0" t="s">
        <v>46</v>
      </c>
    </row>
    <row r="228" customFormat="false" ht="15" hidden="false" customHeight="false" outlineLevel="0" collapsed="false">
      <c r="A228" s="0" t="s">
        <v>3856</v>
      </c>
      <c r="B228" s="0" t="s">
        <v>1068</v>
      </c>
      <c r="C228" s="0" t="s">
        <v>1069</v>
      </c>
      <c r="D228" s="0" t="s">
        <v>1070</v>
      </c>
      <c r="E228" s="0" t="s">
        <v>46</v>
      </c>
      <c r="F228" s="0" t="s">
        <v>3857</v>
      </c>
      <c r="G228" s="0" t="s">
        <v>46</v>
      </c>
      <c r="H228" s="0" t="s">
        <v>46</v>
      </c>
      <c r="I228" s="0" t="s">
        <v>46</v>
      </c>
      <c r="J228" s="0" t="s">
        <v>46</v>
      </c>
      <c r="K228" s="0" t="s">
        <v>46</v>
      </c>
      <c r="L228" s="0" t="s">
        <v>46</v>
      </c>
      <c r="M228" s="0" t="s">
        <v>46</v>
      </c>
      <c r="N228" s="0" t="s">
        <v>46</v>
      </c>
    </row>
    <row r="229" customFormat="false" ht="15" hidden="false" customHeight="false" outlineLevel="0" collapsed="false">
      <c r="A229" s="0" t="s">
        <v>3858</v>
      </c>
      <c r="B229" s="0" t="s">
        <v>46</v>
      </c>
      <c r="C229" s="0" t="s">
        <v>1043</v>
      </c>
      <c r="D229" s="0" t="s">
        <v>1044</v>
      </c>
      <c r="E229" s="0" t="s">
        <v>46</v>
      </c>
      <c r="F229" s="0" t="s">
        <v>46</v>
      </c>
      <c r="G229" s="0" t="s">
        <v>46</v>
      </c>
      <c r="H229" s="0" t="s">
        <v>46</v>
      </c>
      <c r="I229" s="0" t="s">
        <v>46</v>
      </c>
      <c r="J229" s="0" t="s">
        <v>46</v>
      </c>
      <c r="K229" s="0" t="s">
        <v>46</v>
      </c>
      <c r="L229" s="0" t="s">
        <v>46</v>
      </c>
      <c r="M229" s="0" t="s">
        <v>46</v>
      </c>
      <c r="N229" s="0" t="s">
        <v>46</v>
      </c>
    </row>
    <row r="230" customFormat="false" ht="15" hidden="false" customHeight="false" outlineLevel="0" collapsed="false">
      <c r="A230" s="0" t="s">
        <v>3859</v>
      </c>
      <c r="B230" s="0" t="s">
        <v>2613</v>
      </c>
      <c r="C230" s="0" t="s">
        <v>2614</v>
      </c>
      <c r="D230" s="0" t="s">
        <v>46</v>
      </c>
      <c r="E230" s="0" t="s">
        <v>46</v>
      </c>
      <c r="F230" s="0" t="s">
        <v>3860</v>
      </c>
      <c r="G230" s="0" t="s">
        <v>3861</v>
      </c>
      <c r="H230" s="0" t="s">
        <v>3862</v>
      </c>
      <c r="I230" s="0" t="s">
        <v>46</v>
      </c>
      <c r="J230" s="0" t="s">
        <v>46</v>
      </c>
      <c r="K230" s="0" t="s">
        <v>46</v>
      </c>
      <c r="L230" s="0" t="s">
        <v>46</v>
      </c>
      <c r="M230" s="0" t="s">
        <v>46</v>
      </c>
      <c r="N230" s="0" t="s">
        <v>46</v>
      </c>
    </row>
    <row r="231" customFormat="false" ht="15" hidden="false" customHeight="false" outlineLevel="0" collapsed="false">
      <c r="A231" s="0" t="s">
        <v>3863</v>
      </c>
      <c r="B231" s="0" t="s">
        <v>2073</v>
      </c>
      <c r="C231" s="0" t="s">
        <v>2074</v>
      </c>
      <c r="D231" s="0" t="s">
        <v>46</v>
      </c>
      <c r="E231" s="0" t="s">
        <v>46</v>
      </c>
      <c r="F231" s="0" t="s">
        <v>46</v>
      </c>
      <c r="G231" s="0" t="s">
        <v>3864</v>
      </c>
      <c r="H231" s="0" t="s">
        <v>3865</v>
      </c>
      <c r="I231" s="0" t="s">
        <v>46</v>
      </c>
      <c r="J231" s="0" t="s">
        <v>46</v>
      </c>
      <c r="K231" s="0" t="s">
        <v>46</v>
      </c>
      <c r="L231" s="0" t="s">
        <v>46</v>
      </c>
      <c r="M231" s="0" t="s">
        <v>46</v>
      </c>
      <c r="N231" s="0" t="s">
        <v>46</v>
      </c>
    </row>
    <row r="232" customFormat="false" ht="15" hidden="false" customHeight="false" outlineLevel="0" collapsed="false">
      <c r="A232" s="0" t="s">
        <v>3866</v>
      </c>
      <c r="B232" s="0" t="s">
        <v>1326</v>
      </c>
      <c r="C232" s="0" t="s">
        <v>1327</v>
      </c>
      <c r="D232" s="0" t="s">
        <v>1328</v>
      </c>
      <c r="E232" s="0" t="s">
        <v>1329</v>
      </c>
      <c r="F232" s="0" t="s">
        <v>46</v>
      </c>
      <c r="G232" s="0" t="s">
        <v>3867</v>
      </c>
      <c r="H232" s="0" t="s">
        <v>3868</v>
      </c>
      <c r="I232" s="0" t="str">
        <f aca="false">HYPERLINK("https://omim.org/entry/615960", "615960")</f>
        <v>615960</v>
      </c>
      <c r="J232" s="0" t="s">
        <v>46</v>
      </c>
      <c r="K232" s="0" t="s">
        <v>46</v>
      </c>
      <c r="L232" s="0" t="s">
        <v>46</v>
      </c>
      <c r="M232" s="0" t="s">
        <v>46</v>
      </c>
      <c r="N232" s="0" t="s">
        <v>46</v>
      </c>
    </row>
    <row r="233" customFormat="false" ht="15" hidden="false" customHeight="false" outlineLevel="0" collapsed="false">
      <c r="A233" s="0" t="s">
        <v>3869</v>
      </c>
      <c r="B233" s="0" t="s">
        <v>3025</v>
      </c>
      <c r="C233" s="0" t="s">
        <v>3026</v>
      </c>
      <c r="D233" s="0" t="s">
        <v>1328</v>
      </c>
      <c r="E233" s="0" t="s">
        <v>3027</v>
      </c>
      <c r="F233" s="0" t="s">
        <v>3870</v>
      </c>
      <c r="G233" s="0" t="s">
        <v>3871</v>
      </c>
      <c r="H233" s="0" t="s">
        <v>3872</v>
      </c>
      <c r="I233" s="0" t="str">
        <f aca="false">HYPERLINK("https://omim.org/entry/607855", "607855")</f>
        <v>607855</v>
      </c>
      <c r="J233" s="0" t="s">
        <v>46</v>
      </c>
      <c r="K233" s="0" t="s">
        <v>46</v>
      </c>
      <c r="L233" s="0" t="s">
        <v>46</v>
      </c>
      <c r="M233" s="0" t="s">
        <v>46</v>
      </c>
      <c r="N233" s="0" t="s">
        <v>46</v>
      </c>
    </row>
    <row r="234" customFormat="false" ht="15" hidden="false" customHeight="false" outlineLevel="0" collapsed="false">
      <c r="A234" s="0" t="s">
        <v>3873</v>
      </c>
      <c r="B234" s="0" t="s">
        <v>1566</v>
      </c>
      <c r="C234" s="0" t="s">
        <v>1567</v>
      </c>
      <c r="D234" s="0" t="s">
        <v>1328</v>
      </c>
      <c r="E234" s="0" t="s">
        <v>46</v>
      </c>
      <c r="F234" s="0" t="s">
        <v>3874</v>
      </c>
      <c r="G234" s="0" t="s">
        <v>3875</v>
      </c>
      <c r="H234" s="0" t="s">
        <v>46</v>
      </c>
      <c r="I234" s="0" t="s">
        <v>46</v>
      </c>
      <c r="J234" s="0" t="s">
        <v>46</v>
      </c>
      <c r="K234" s="0" t="s">
        <v>46</v>
      </c>
      <c r="L234" s="0" t="s">
        <v>46</v>
      </c>
      <c r="M234" s="0" t="s">
        <v>46</v>
      </c>
      <c r="N234" s="0" t="s">
        <v>46</v>
      </c>
    </row>
    <row r="235" customFormat="false" ht="15" hidden="false" customHeight="false" outlineLevel="0" collapsed="false">
      <c r="A235" s="0" t="s">
        <v>3876</v>
      </c>
      <c r="B235" s="0" t="s">
        <v>1952</v>
      </c>
      <c r="C235" s="0" t="s">
        <v>1953</v>
      </c>
      <c r="D235" s="0" t="s">
        <v>1328</v>
      </c>
      <c r="E235" s="0" t="s">
        <v>1954</v>
      </c>
      <c r="F235" s="0" t="s">
        <v>3877</v>
      </c>
      <c r="G235" s="0" t="s">
        <v>3878</v>
      </c>
      <c r="H235" s="0" t="s">
        <v>3879</v>
      </c>
      <c r="I235" s="0" t="str">
        <f aca="false">HYPERLINK("https://omim.org/entry/614115", "614115")</f>
        <v>614115</v>
      </c>
      <c r="J235" s="0" t="s">
        <v>46</v>
      </c>
      <c r="K235" s="0" t="s">
        <v>46</v>
      </c>
      <c r="L235" s="0" t="s">
        <v>46</v>
      </c>
      <c r="M235" s="0" t="s">
        <v>46</v>
      </c>
      <c r="N235" s="0" t="s">
        <v>46</v>
      </c>
    </row>
    <row r="236" customFormat="false" ht="15" hidden="false" customHeight="false" outlineLevel="0" collapsed="false">
      <c r="A236" s="0" t="s">
        <v>3880</v>
      </c>
      <c r="B236" s="0" t="s">
        <v>2806</v>
      </c>
      <c r="C236" s="0" t="s">
        <v>2807</v>
      </c>
      <c r="D236" s="0" t="s">
        <v>2808</v>
      </c>
      <c r="E236" s="0" t="s">
        <v>46</v>
      </c>
      <c r="F236" s="0" t="s">
        <v>3881</v>
      </c>
      <c r="G236" s="0" t="s">
        <v>3882</v>
      </c>
      <c r="H236" s="0" t="s">
        <v>3883</v>
      </c>
      <c r="I236" s="0" t="s">
        <v>46</v>
      </c>
      <c r="J236" s="0" t="s">
        <v>46</v>
      </c>
      <c r="K236" s="0" t="s">
        <v>46</v>
      </c>
      <c r="L236" s="0" t="s">
        <v>46</v>
      </c>
      <c r="M236" s="0" t="s">
        <v>46</v>
      </c>
      <c r="N236" s="0" t="s">
        <v>46</v>
      </c>
    </row>
    <row r="237" customFormat="false" ht="15" hidden="false" customHeight="false" outlineLevel="0" collapsed="false">
      <c r="A237" s="0" t="s">
        <v>3884</v>
      </c>
      <c r="B237" s="0" t="s">
        <v>1593</v>
      </c>
      <c r="C237" s="0" t="s">
        <v>1594</v>
      </c>
      <c r="D237" s="0" t="s">
        <v>46</v>
      </c>
      <c r="E237" s="0" t="s">
        <v>46</v>
      </c>
      <c r="F237" s="0" t="s">
        <v>46</v>
      </c>
      <c r="G237" s="0" t="s">
        <v>3885</v>
      </c>
      <c r="H237" s="0" t="s">
        <v>3886</v>
      </c>
      <c r="I237" s="0" t="s">
        <v>46</v>
      </c>
      <c r="J237" s="0" t="s">
        <v>46</v>
      </c>
      <c r="K237" s="0" t="s">
        <v>46</v>
      </c>
      <c r="L237" s="0" t="s">
        <v>46</v>
      </c>
      <c r="M237" s="0" t="s">
        <v>46</v>
      </c>
      <c r="N237" s="0" t="s">
        <v>46</v>
      </c>
    </row>
    <row r="238" customFormat="false" ht="15" hidden="false" customHeight="false" outlineLevel="0" collapsed="false">
      <c r="A238" s="0" t="s">
        <v>3887</v>
      </c>
      <c r="B238" s="0" t="s">
        <v>46</v>
      </c>
      <c r="C238" s="0" t="s">
        <v>557</v>
      </c>
      <c r="D238" s="0" t="s">
        <v>46</v>
      </c>
      <c r="E238" s="0" t="s">
        <v>46</v>
      </c>
      <c r="F238" s="0" t="s">
        <v>46</v>
      </c>
      <c r="G238" s="0" t="s">
        <v>46</v>
      </c>
      <c r="H238" s="0" t="s">
        <v>46</v>
      </c>
      <c r="I238" s="0" t="s">
        <v>46</v>
      </c>
      <c r="J238" s="0" t="s">
        <v>46</v>
      </c>
      <c r="K238" s="0" t="s">
        <v>46</v>
      </c>
      <c r="L238" s="0" t="s">
        <v>46</v>
      </c>
      <c r="M238" s="0" t="s">
        <v>46</v>
      </c>
      <c r="N238" s="0" t="s">
        <v>46</v>
      </c>
    </row>
    <row r="239" customFormat="false" ht="15" hidden="false" customHeight="false" outlineLevel="0" collapsed="false">
      <c r="A239" s="0" t="s">
        <v>3888</v>
      </c>
      <c r="B239" s="0" t="s">
        <v>645</v>
      </c>
      <c r="C239" s="0" t="s">
        <v>646</v>
      </c>
      <c r="D239" s="0" t="s">
        <v>647</v>
      </c>
      <c r="E239" s="0" t="s">
        <v>46</v>
      </c>
      <c r="F239" s="0" t="s">
        <v>46</v>
      </c>
      <c r="G239" s="0" t="s">
        <v>3889</v>
      </c>
      <c r="H239" s="0" t="s">
        <v>3890</v>
      </c>
      <c r="I239" s="0" t="s">
        <v>46</v>
      </c>
      <c r="J239" s="0" t="s">
        <v>46</v>
      </c>
      <c r="K239" s="0" t="s">
        <v>46</v>
      </c>
      <c r="L239" s="0" t="s">
        <v>46</v>
      </c>
      <c r="M239" s="0" t="s">
        <v>46</v>
      </c>
      <c r="N239" s="0" t="s">
        <v>46</v>
      </c>
    </row>
    <row r="240" customFormat="false" ht="15" hidden="false" customHeight="false" outlineLevel="0" collapsed="false">
      <c r="A240" s="0" t="s">
        <v>3891</v>
      </c>
      <c r="B240" s="0" t="s">
        <v>1747</v>
      </c>
      <c r="C240" s="0" t="s">
        <v>1748</v>
      </c>
      <c r="D240" s="0" t="s">
        <v>1749</v>
      </c>
      <c r="E240" s="0" t="s">
        <v>1750</v>
      </c>
      <c r="F240" s="0" t="s">
        <v>46</v>
      </c>
      <c r="G240" s="0" t="s">
        <v>3892</v>
      </c>
      <c r="H240" s="0" t="s">
        <v>3893</v>
      </c>
      <c r="I240" s="0" t="str">
        <f aca="false">HYPERLINK("https://omim.org/entry/601559", "601559")</f>
        <v>601559</v>
      </c>
      <c r="J240" s="0" t="s">
        <v>46</v>
      </c>
      <c r="K240" s="0" t="s">
        <v>46</v>
      </c>
      <c r="L240" s="0" t="s">
        <v>46</v>
      </c>
      <c r="M240" s="0" t="s">
        <v>46</v>
      </c>
      <c r="N240" s="0" t="s">
        <v>46</v>
      </c>
    </row>
    <row r="241" customFormat="false" ht="15" hidden="false" customHeight="false" outlineLevel="0" collapsed="false">
      <c r="A241" s="0" t="s">
        <v>3894</v>
      </c>
      <c r="B241" s="0" t="s">
        <v>1663</v>
      </c>
      <c r="C241" s="0" t="s">
        <v>1664</v>
      </c>
      <c r="D241" s="0" t="s">
        <v>1665</v>
      </c>
      <c r="E241" s="0" t="s">
        <v>46</v>
      </c>
      <c r="F241" s="0" t="s">
        <v>3895</v>
      </c>
      <c r="G241" s="0" t="s">
        <v>3896</v>
      </c>
      <c r="H241" s="0" t="s">
        <v>3897</v>
      </c>
      <c r="I241" s="0" t="s">
        <v>46</v>
      </c>
      <c r="J241" s="0" t="s">
        <v>46</v>
      </c>
      <c r="K241" s="0" t="s">
        <v>46</v>
      </c>
      <c r="L241" s="0" t="s">
        <v>46</v>
      </c>
      <c r="M241" s="0" t="s">
        <v>46</v>
      </c>
      <c r="N241" s="0" t="s">
        <v>46</v>
      </c>
    </row>
    <row r="242" customFormat="false" ht="15" hidden="false" customHeight="false" outlineLevel="0" collapsed="false">
      <c r="A242" s="0" t="s">
        <v>3898</v>
      </c>
      <c r="B242" s="0" t="s">
        <v>2516</v>
      </c>
      <c r="C242" s="0" t="s">
        <v>3899</v>
      </c>
      <c r="D242" s="0" t="s">
        <v>2518</v>
      </c>
      <c r="E242" s="0" t="s">
        <v>2519</v>
      </c>
      <c r="F242" s="0" t="s">
        <v>46</v>
      </c>
      <c r="G242" s="0" t="s">
        <v>3900</v>
      </c>
      <c r="H242" s="0" t="s">
        <v>3901</v>
      </c>
      <c r="I242" s="0" t="str">
        <f aca="false">HYPERLINK("https://omim.org/entry/246650", "246650")</f>
        <v>246650</v>
      </c>
      <c r="J242" s="0" t="s">
        <v>46</v>
      </c>
      <c r="K242" s="0" t="s">
        <v>46</v>
      </c>
      <c r="L242" s="0" t="s">
        <v>46</v>
      </c>
      <c r="M242" s="0" t="s">
        <v>46</v>
      </c>
      <c r="N242" s="0" t="s">
        <v>46</v>
      </c>
    </row>
    <row r="243" customFormat="false" ht="15" hidden="false" customHeight="false" outlineLevel="0" collapsed="false">
      <c r="A243" s="0" t="s">
        <v>3902</v>
      </c>
      <c r="B243" s="0" t="s">
        <v>46</v>
      </c>
      <c r="C243" s="0" t="s">
        <v>3903</v>
      </c>
      <c r="D243" s="0" t="s">
        <v>46</v>
      </c>
      <c r="E243" s="0" t="s">
        <v>46</v>
      </c>
      <c r="F243" s="0" t="s">
        <v>46</v>
      </c>
      <c r="G243" s="0" t="s">
        <v>46</v>
      </c>
      <c r="H243" s="0" t="s">
        <v>46</v>
      </c>
      <c r="I243" s="0" t="s">
        <v>46</v>
      </c>
      <c r="J243" s="0" t="s">
        <v>46</v>
      </c>
      <c r="K243" s="0" t="s">
        <v>46</v>
      </c>
      <c r="L243" s="0" t="s">
        <v>46</v>
      </c>
      <c r="M243" s="0" t="s">
        <v>46</v>
      </c>
      <c r="N243" s="0" t="s">
        <v>46</v>
      </c>
    </row>
    <row r="244" customFormat="false" ht="15" hidden="false" customHeight="false" outlineLevel="0" collapsed="false">
      <c r="A244" s="0" t="s">
        <v>3904</v>
      </c>
      <c r="B244" s="0" t="s">
        <v>1075</v>
      </c>
      <c r="C244" s="0" t="s">
        <v>1076</v>
      </c>
      <c r="D244" s="0" t="s">
        <v>46</v>
      </c>
      <c r="E244" s="0" t="s">
        <v>46</v>
      </c>
      <c r="F244" s="0" t="s">
        <v>3905</v>
      </c>
      <c r="G244" s="0" t="s">
        <v>3906</v>
      </c>
      <c r="H244" s="0" t="s">
        <v>3907</v>
      </c>
      <c r="I244" s="0" t="s">
        <v>46</v>
      </c>
      <c r="J244" s="0" t="s">
        <v>46</v>
      </c>
      <c r="K244" s="0" t="s">
        <v>46</v>
      </c>
      <c r="L244" s="0" t="s">
        <v>46</v>
      </c>
      <c r="M244" s="0" t="s">
        <v>46</v>
      </c>
      <c r="N244" s="0" t="s">
        <v>46</v>
      </c>
    </row>
    <row r="245" customFormat="false" ht="15" hidden="false" customHeight="false" outlineLevel="0" collapsed="false">
      <c r="A245" s="0" t="s">
        <v>3908</v>
      </c>
      <c r="B245" s="0" t="s">
        <v>1275</v>
      </c>
      <c r="C245" s="0" t="s">
        <v>1276</v>
      </c>
      <c r="D245" s="0" t="s">
        <v>46</v>
      </c>
      <c r="E245" s="0" t="s">
        <v>46</v>
      </c>
      <c r="F245" s="0" t="s">
        <v>46</v>
      </c>
      <c r="G245" s="0" t="s">
        <v>3909</v>
      </c>
      <c r="H245" s="0" t="s">
        <v>3910</v>
      </c>
      <c r="I245" s="0" t="s">
        <v>46</v>
      </c>
      <c r="J245" s="0" t="s">
        <v>46</v>
      </c>
      <c r="K245" s="0" t="s">
        <v>46</v>
      </c>
      <c r="L245" s="0" t="s">
        <v>46</v>
      </c>
      <c r="M245" s="0" t="s">
        <v>46</v>
      </c>
      <c r="N245" s="0" t="s">
        <v>46</v>
      </c>
    </row>
    <row r="246" customFormat="false" ht="15" hidden="false" customHeight="false" outlineLevel="0" collapsed="false">
      <c r="A246" s="0" t="s">
        <v>3911</v>
      </c>
      <c r="B246" s="0" t="s">
        <v>2650</v>
      </c>
      <c r="C246" s="0" t="s">
        <v>2651</v>
      </c>
      <c r="D246" s="0" t="s">
        <v>2652</v>
      </c>
      <c r="E246" s="0" t="s">
        <v>46</v>
      </c>
      <c r="F246" s="0" t="s">
        <v>46</v>
      </c>
      <c r="G246" s="0" t="s">
        <v>3912</v>
      </c>
      <c r="H246" s="0" t="s">
        <v>46</v>
      </c>
      <c r="I246" s="0" t="s">
        <v>46</v>
      </c>
      <c r="J246" s="0" t="s">
        <v>46</v>
      </c>
      <c r="K246" s="0" t="s">
        <v>46</v>
      </c>
      <c r="L246" s="0" t="s">
        <v>46</v>
      </c>
      <c r="M246" s="0" t="s">
        <v>46</v>
      </c>
      <c r="N246" s="0" t="s">
        <v>46</v>
      </c>
    </row>
    <row r="247" customFormat="false" ht="15" hidden="false" customHeight="false" outlineLevel="0" collapsed="false">
      <c r="A247" s="0" t="s">
        <v>3913</v>
      </c>
      <c r="B247" s="0" t="s">
        <v>461</v>
      </c>
      <c r="C247" s="0" t="s">
        <v>462</v>
      </c>
      <c r="D247" s="0" t="s">
        <v>46</v>
      </c>
      <c r="E247" s="0" t="s">
        <v>46</v>
      </c>
      <c r="F247" s="0" t="s">
        <v>46</v>
      </c>
      <c r="G247" s="0" t="s">
        <v>46</v>
      </c>
      <c r="H247" s="0" t="s">
        <v>46</v>
      </c>
      <c r="I247" s="0" t="s">
        <v>46</v>
      </c>
      <c r="J247" s="0" t="s">
        <v>46</v>
      </c>
      <c r="K247" s="0" t="s">
        <v>46</v>
      </c>
      <c r="L247" s="0" t="s">
        <v>46</v>
      </c>
      <c r="M247" s="0" t="s">
        <v>46</v>
      </c>
      <c r="N247" s="0" t="s">
        <v>46</v>
      </c>
    </row>
    <row r="248" customFormat="false" ht="15" hidden="false" customHeight="false" outlineLevel="0" collapsed="false">
      <c r="A248" s="0" t="s">
        <v>3914</v>
      </c>
      <c r="B248" s="0" t="s">
        <v>46</v>
      </c>
      <c r="C248" s="0" t="s">
        <v>1610</v>
      </c>
      <c r="D248" s="0" t="s">
        <v>46</v>
      </c>
      <c r="E248" s="0" t="s">
        <v>46</v>
      </c>
      <c r="F248" s="0" t="s">
        <v>46</v>
      </c>
      <c r="G248" s="0" t="s">
        <v>46</v>
      </c>
      <c r="H248" s="0" t="s">
        <v>46</v>
      </c>
      <c r="I248" s="0" t="s">
        <v>46</v>
      </c>
      <c r="J248" s="0" t="s">
        <v>46</v>
      </c>
      <c r="K248" s="0" t="s">
        <v>46</v>
      </c>
      <c r="L248" s="0" t="s">
        <v>46</v>
      </c>
      <c r="M248" s="0" t="s">
        <v>46</v>
      </c>
      <c r="N248" s="0" t="s">
        <v>46</v>
      </c>
    </row>
    <row r="249" customFormat="false" ht="15" hidden="false" customHeight="false" outlineLevel="0" collapsed="false">
      <c r="A249" s="0" t="s">
        <v>3915</v>
      </c>
      <c r="B249" s="0" t="s">
        <v>1658</v>
      </c>
      <c r="C249" s="0" t="s">
        <v>1659</v>
      </c>
      <c r="D249" s="0" t="s">
        <v>46</v>
      </c>
      <c r="E249" s="0" t="s">
        <v>46</v>
      </c>
      <c r="F249" s="0" t="s">
        <v>46</v>
      </c>
      <c r="G249" s="0" t="s">
        <v>3916</v>
      </c>
      <c r="H249" s="0" t="s">
        <v>3917</v>
      </c>
      <c r="I249" s="0" t="s">
        <v>46</v>
      </c>
      <c r="J249" s="0" t="s">
        <v>46</v>
      </c>
      <c r="K249" s="0" t="s">
        <v>46</v>
      </c>
      <c r="L249" s="0" t="s">
        <v>46</v>
      </c>
      <c r="M249" s="0" t="s">
        <v>46</v>
      </c>
      <c r="N249" s="0" t="s">
        <v>46</v>
      </c>
    </row>
    <row r="250" customFormat="false" ht="15" hidden="false" customHeight="false" outlineLevel="0" collapsed="false">
      <c r="A250" s="0" t="s">
        <v>3918</v>
      </c>
      <c r="B250" s="0" t="s">
        <v>2324</v>
      </c>
      <c r="C250" s="0" t="s">
        <v>2325</v>
      </c>
      <c r="D250" s="0" t="s">
        <v>2326</v>
      </c>
      <c r="E250" s="0" t="s">
        <v>46</v>
      </c>
      <c r="F250" s="0" t="s">
        <v>3919</v>
      </c>
      <c r="G250" s="0" t="s">
        <v>3920</v>
      </c>
      <c r="H250" s="0" t="s">
        <v>3921</v>
      </c>
      <c r="I250" s="0" t="s">
        <v>46</v>
      </c>
      <c r="J250" s="0" t="s">
        <v>46</v>
      </c>
      <c r="K250" s="0" t="s">
        <v>46</v>
      </c>
      <c r="L250" s="0" t="s">
        <v>46</v>
      </c>
      <c r="M250" s="0" t="s">
        <v>46</v>
      </c>
      <c r="N250" s="0" t="s">
        <v>46</v>
      </c>
    </row>
    <row r="251" customFormat="false" ht="15" hidden="false" customHeight="false" outlineLevel="0" collapsed="false">
      <c r="A251" s="0" t="s">
        <v>3922</v>
      </c>
      <c r="B251" s="0" t="s">
        <v>2025</v>
      </c>
      <c r="C251" s="0" t="s">
        <v>2026</v>
      </c>
      <c r="D251" s="0" t="s">
        <v>2027</v>
      </c>
      <c r="E251" s="0" t="s">
        <v>2028</v>
      </c>
      <c r="F251" s="0" t="s">
        <v>3923</v>
      </c>
      <c r="G251" s="0" t="s">
        <v>3924</v>
      </c>
      <c r="H251" s="0" t="s">
        <v>3925</v>
      </c>
      <c r="I251" s="0" t="str">
        <f aca="false">HYPERLINK("https://omim.org/entry/613177", "613177")</f>
        <v>613177</v>
      </c>
      <c r="J251" s="0" t="s">
        <v>46</v>
      </c>
      <c r="K251" s="0" t="s">
        <v>46</v>
      </c>
      <c r="L251" s="0" t="s">
        <v>46</v>
      </c>
      <c r="M251" s="0" t="s">
        <v>46</v>
      </c>
      <c r="N251" s="0" t="s">
        <v>46</v>
      </c>
    </row>
    <row r="252" customFormat="false" ht="15" hidden="false" customHeight="false" outlineLevel="0" collapsed="false">
      <c r="A252" s="0" t="s">
        <v>3926</v>
      </c>
      <c r="B252" s="0" t="s">
        <v>3927</v>
      </c>
      <c r="C252" s="0" t="s">
        <v>3928</v>
      </c>
      <c r="D252" s="0" t="s">
        <v>3929</v>
      </c>
      <c r="E252" s="0" t="s">
        <v>46</v>
      </c>
      <c r="F252" s="0" t="s">
        <v>3930</v>
      </c>
      <c r="G252" s="0" t="s">
        <v>3931</v>
      </c>
      <c r="H252" s="0" t="s">
        <v>3376</v>
      </c>
      <c r="I252" s="0" t="s">
        <v>46</v>
      </c>
      <c r="J252" s="0" t="s">
        <v>46</v>
      </c>
      <c r="K252" s="0" t="s">
        <v>46</v>
      </c>
      <c r="L252" s="0" t="s">
        <v>46</v>
      </c>
      <c r="M252" s="0" t="s">
        <v>46</v>
      </c>
      <c r="N252" s="0" t="s">
        <v>46</v>
      </c>
    </row>
    <row r="253" customFormat="false" ht="15" hidden="false" customHeight="false" outlineLevel="0" collapsed="false">
      <c r="A253" s="0" t="s">
        <v>3932</v>
      </c>
      <c r="B253" s="0" t="s">
        <v>1150</v>
      </c>
      <c r="C253" s="0" t="s">
        <v>1151</v>
      </c>
      <c r="D253" s="0" t="s">
        <v>46</v>
      </c>
      <c r="E253" s="0" t="s">
        <v>46</v>
      </c>
      <c r="F253" s="0" t="s">
        <v>46</v>
      </c>
      <c r="G253" s="0" t="s">
        <v>3933</v>
      </c>
      <c r="H253" s="0" t="s">
        <v>3934</v>
      </c>
      <c r="I253" s="0" t="s">
        <v>46</v>
      </c>
      <c r="J253" s="0" t="s">
        <v>46</v>
      </c>
      <c r="K253" s="0" t="s">
        <v>46</v>
      </c>
      <c r="L253" s="0" t="s">
        <v>46</v>
      </c>
      <c r="M253" s="0" t="s">
        <v>46</v>
      </c>
      <c r="N253" s="0" t="s">
        <v>46</v>
      </c>
    </row>
    <row r="254" customFormat="false" ht="15" hidden="false" customHeight="false" outlineLevel="0" collapsed="false">
      <c r="A254" s="0" t="s">
        <v>3935</v>
      </c>
      <c r="B254" s="0" t="s">
        <v>2408</v>
      </c>
      <c r="C254" s="0" t="s">
        <v>2409</v>
      </c>
      <c r="D254" s="0" t="s">
        <v>2410</v>
      </c>
      <c r="E254" s="0" t="s">
        <v>2411</v>
      </c>
      <c r="F254" s="0" t="s">
        <v>46</v>
      </c>
      <c r="G254" s="0" t="s">
        <v>3936</v>
      </c>
      <c r="H254" s="0" t="s">
        <v>3937</v>
      </c>
      <c r="I254" s="0" t="str">
        <f aca="false">HYPERLINK("https://omim.org/entry/105200", "105200")</f>
        <v>105200</v>
      </c>
      <c r="J254" s="0" t="s">
        <v>46</v>
      </c>
      <c r="K254" s="0" t="s">
        <v>46</v>
      </c>
      <c r="L254" s="0" t="s">
        <v>46</v>
      </c>
      <c r="M254" s="0" t="s">
        <v>46</v>
      </c>
      <c r="N254" s="0" t="s">
        <v>46</v>
      </c>
    </row>
    <row r="255" customFormat="false" ht="15" hidden="false" customHeight="false" outlineLevel="0" collapsed="false">
      <c r="A255" s="0" t="s">
        <v>3938</v>
      </c>
      <c r="B255" s="0" t="s">
        <v>2861</v>
      </c>
      <c r="C255" s="0" t="s">
        <v>2862</v>
      </c>
      <c r="D255" s="0" t="s">
        <v>2863</v>
      </c>
      <c r="E255" s="0" t="s">
        <v>2864</v>
      </c>
      <c r="F255" s="0" t="s">
        <v>46</v>
      </c>
      <c r="G255" s="0" t="s">
        <v>3939</v>
      </c>
      <c r="H255" s="0" t="s">
        <v>3832</v>
      </c>
      <c r="I255" s="0" t="str">
        <f aca="false">HYPERLINK("https://omim.org/entry/615670", "615670")</f>
        <v>615670</v>
      </c>
      <c r="J255" s="0" t="s">
        <v>46</v>
      </c>
      <c r="K255" s="0" t="s">
        <v>46</v>
      </c>
      <c r="L255" s="0" t="s">
        <v>46</v>
      </c>
      <c r="M255" s="0" t="s">
        <v>46</v>
      </c>
      <c r="N255" s="0" t="s">
        <v>46</v>
      </c>
    </row>
    <row r="256" customFormat="false" ht="15" hidden="false" customHeight="false" outlineLevel="0" collapsed="false">
      <c r="A256" s="0" t="s">
        <v>3940</v>
      </c>
      <c r="B256" s="0" t="s">
        <v>3147</v>
      </c>
      <c r="C256" s="0" t="s">
        <v>3148</v>
      </c>
      <c r="D256" s="0" t="s">
        <v>46</v>
      </c>
      <c r="E256" s="0" t="s">
        <v>46</v>
      </c>
      <c r="F256" s="0" t="s">
        <v>46</v>
      </c>
      <c r="G256" s="0" t="s">
        <v>46</v>
      </c>
      <c r="H256" s="0" t="s">
        <v>46</v>
      </c>
      <c r="I256" s="0" t="s">
        <v>46</v>
      </c>
      <c r="J256" s="0" t="s">
        <v>46</v>
      </c>
      <c r="K256" s="0" t="s">
        <v>46</v>
      </c>
      <c r="L256" s="0" t="s">
        <v>46</v>
      </c>
      <c r="M256" s="0" t="s">
        <v>46</v>
      </c>
      <c r="N256" s="0" t="s">
        <v>46</v>
      </c>
    </row>
    <row r="257" customFormat="false" ht="15" hidden="false" customHeight="false" outlineLevel="0" collapsed="false">
      <c r="A257" s="0" t="s">
        <v>3941</v>
      </c>
      <c r="B257" s="0" t="s">
        <v>2664</v>
      </c>
      <c r="C257" s="0" t="s">
        <v>2665</v>
      </c>
      <c r="D257" s="0" t="s">
        <v>2666</v>
      </c>
      <c r="E257" s="0" t="s">
        <v>2667</v>
      </c>
      <c r="F257" s="0" t="s">
        <v>3942</v>
      </c>
      <c r="G257" s="0" t="s">
        <v>3943</v>
      </c>
      <c r="H257" s="0" t="s">
        <v>3944</v>
      </c>
      <c r="I257" s="0" t="s">
        <v>46</v>
      </c>
      <c r="J257" s="0" t="s">
        <v>46</v>
      </c>
      <c r="K257" s="0" t="s">
        <v>46</v>
      </c>
      <c r="L257" s="0" t="s">
        <v>46</v>
      </c>
      <c r="M257" s="0" t="s">
        <v>46</v>
      </c>
      <c r="N257" s="0" t="s">
        <v>46</v>
      </c>
    </row>
    <row r="258" customFormat="false" ht="15" hidden="false" customHeight="false" outlineLevel="0" collapsed="false">
      <c r="A258" s="0" t="s">
        <v>3945</v>
      </c>
      <c r="B258" s="0" t="s">
        <v>3946</v>
      </c>
      <c r="C258" s="0" t="s">
        <v>3947</v>
      </c>
      <c r="D258" s="0" t="s">
        <v>3948</v>
      </c>
      <c r="E258" s="0" t="s">
        <v>2500</v>
      </c>
      <c r="F258" s="0" t="s">
        <v>3949</v>
      </c>
      <c r="G258" s="0" t="s">
        <v>3950</v>
      </c>
      <c r="H258" s="0" t="s">
        <v>3951</v>
      </c>
      <c r="I258" s="0" t="str">
        <f aca="false">HYPERLINK("https://omim.org/entry/615279", "615279")</f>
        <v>615279</v>
      </c>
      <c r="J258" s="0" t="s">
        <v>46</v>
      </c>
      <c r="K258" s="0" t="s">
        <v>46</v>
      </c>
      <c r="L258" s="0" t="s">
        <v>46</v>
      </c>
      <c r="M258" s="0" t="s">
        <v>46</v>
      </c>
      <c r="N258" s="0" t="s">
        <v>46</v>
      </c>
    </row>
    <row r="259" customFormat="false" ht="15" hidden="false" customHeight="false" outlineLevel="0" collapsed="false">
      <c r="A259" s="0" t="s">
        <v>3952</v>
      </c>
      <c r="B259" s="0" t="s">
        <v>1484</v>
      </c>
      <c r="C259" s="0" t="s">
        <v>1485</v>
      </c>
      <c r="D259" s="0" t="s">
        <v>1486</v>
      </c>
      <c r="E259" s="0" t="s">
        <v>46</v>
      </c>
      <c r="F259" s="0" t="s">
        <v>3953</v>
      </c>
      <c r="G259" s="0" t="s">
        <v>3954</v>
      </c>
      <c r="H259" s="0" t="s">
        <v>3955</v>
      </c>
      <c r="I259" s="0" t="s">
        <v>46</v>
      </c>
      <c r="J259" s="0" t="s">
        <v>46</v>
      </c>
      <c r="K259" s="0" t="s">
        <v>46</v>
      </c>
      <c r="L259" s="0" t="s">
        <v>46</v>
      </c>
      <c r="M259" s="0" t="s">
        <v>46</v>
      </c>
      <c r="N259" s="0" t="s">
        <v>46</v>
      </c>
    </row>
    <row r="260" customFormat="false" ht="15" hidden="false" customHeight="false" outlineLevel="0" collapsed="false">
      <c r="A260" s="0" t="s">
        <v>3956</v>
      </c>
      <c r="B260" s="0" t="s">
        <v>956</v>
      </c>
      <c r="C260" s="0" t="s">
        <v>957</v>
      </c>
      <c r="D260" s="0" t="s">
        <v>958</v>
      </c>
      <c r="E260" s="0" t="s">
        <v>46</v>
      </c>
      <c r="F260" s="0" t="s">
        <v>46</v>
      </c>
      <c r="G260" s="0" t="s">
        <v>3957</v>
      </c>
      <c r="H260" s="0" t="s">
        <v>46</v>
      </c>
      <c r="I260" s="0" t="s">
        <v>46</v>
      </c>
      <c r="J260" s="0" t="s">
        <v>46</v>
      </c>
      <c r="K260" s="0" t="s">
        <v>46</v>
      </c>
      <c r="L260" s="0" t="s">
        <v>46</v>
      </c>
      <c r="M260" s="0" t="s">
        <v>46</v>
      </c>
      <c r="N260" s="0" t="s">
        <v>46</v>
      </c>
    </row>
    <row r="261" customFormat="false" ht="15" hidden="false" customHeight="false" outlineLevel="0" collapsed="false">
      <c r="A261" s="0" t="s">
        <v>3958</v>
      </c>
      <c r="B261" s="0" t="s">
        <v>1344</v>
      </c>
      <c r="C261" s="0" t="s">
        <v>1345</v>
      </c>
      <c r="D261" s="0" t="s">
        <v>1346</v>
      </c>
      <c r="E261" s="0" t="s">
        <v>1347</v>
      </c>
      <c r="F261" s="0" t="s">
        <v>3959</v>
      </c>
      <c r="G261" s="0" t="s">
        <v>3960</v>
      </c>
      <c r="H261" s="0" t="s">
        <v>3961</v>
      </c>
      <c r="I261" s="0" t="s">
        <v>46</v>
      </c>
      <c r="J261" s="0" t="s">
        <v>46</v>
      </c>
      <c r="K261" s="0" t="s">
        <v>46</v>
      </c>
      <c r="L261" s="0" t="s">
        <v>46</v>
      </c>
      <c r="M261" s="0" t="s">
        <v>46</v>
      </c>
      <c r="N261" s="0" t="s">
        <v>46</v>
      </c>
    </row>
    <row r="262" customFormat="false" ht="15" hidden="false" customHeight="false" outlineLevel="0" collapsed="false">
      <c r="A262" s="0" t="s">
        <v>3962</v>
      </c>
      <c r="B262" s="0" t="s">
        <v>562</v>
      </c>
      <c r="C262" s="0" t="s">
        <v>563</v>
      </c>
      <c r="D262" s="0" t="s">
        <v>46</v>
      </c>
      <c r="E262" s="0" t="s">
        <v>46</v>
      </c>
      <c r="F262" s="0" t="s">
        <v>46</v>
      </c>
      <c r="G262" s="0" t="s">
        <v>3963</v>
      </c>
      <c r="H262" s="0" t="s">
        <v>3964</v>
      </c>
      <c r="I262" s="0" t="s">
        <v>46</v>
      </c>
      <c r="J262" s="0" t="s">
        <v>46</v>
      </c>
      <c r="K262" s="0" t="s">
        <v>46</v>
      </c>
      <c r="L262" s="0" t="s">
        <v>46</v>
      </c>
      <c r="M262" s="0" t="s">
        <v>46</v>
      </c>
      <c r="N262" s="0" t="s">
        <v>46</v>
      </c>
    </row>
    <row r="263" customFormat="false" ht="15" hidden="false" customHeight="false" outlineLevel="0" collapsed="false">
      <c r="A263" s="0" t="s">
        <v>3965</v>
      </c>
      <c r="B263" s="0" t="s">
        <v>2971</v>
      </c>
      <c r="C263" s="0" t="s">
        <v>2972</v>
      </c>
      <c r="D263" s="0" t="s">
        <v>2973</v>
      </c>
      <c r="E263" s="0" t="s">
        <v>2974</v>
      </c>
      <c r="F263" s="0" t="s">
        <v>3966</v>
      </c>
      <c r="G263" s="0" t="s">
        <v>3967</v>
      </c>
      <c r="H263" s="0" t="s">
        <v>3968</v>
      </c>
      <c r="I263" s="0" t="str">
        <f aca="false">HYPERLINK("https://omim.org/entry/613443", "613443")</f>
        <v>613443</v>
      </c>
      <c r="J263" s="0" t="s">
        <v>46</v>
      </c>
      <c r="K263" s="0" t="s">
        <v>46</v>
      </c>
      <c r="L263" s="0" t="s">
        <v>46</v>
      </c>
      <c r="M263" s="0" t="s">
        <v>46</v>
      </c>
      <c r="N263" s="0" t="s">
        <v>46</v>
      </c>
    </row>
    <row r="264" customFormat="false" ht="15" hidden="false" customHeight="false" outlineLevel="0" collapsed="false">
      <c r="A264" s="0" t="s">
        <v>3969</v>
      </c>
      <c r="B264" s="0" t="s">
        <v>1178</v>
      </c>
      <c r="C264" s="0" t="s">
        <v>1179</v>
      </c>
      <c r="D264" s="0" t="s">
        <v>1180</v>
      </c>
      <c r="E264" s="0" t="s">
        <v>1181</v>
      </c>
      <c r="F264" s="0" t="s">
        <v>3970</v>
      </c>
      <c r="G264" s="0" t="s">
        <v>3971</v>
      </c>
      <c r="H264" s="0" t="s">
        <v>3972</v>
      </c>
      <c r="I264" s="0" t="str">
        <f aca="false">HYPERLINK("https://omim.org/entry/249100", "249100")</f>
        <v>249100</v>
      </c>
      <c r="J264" s="0" t="str">
        <f aca="false">HYPERLINK("https://omim.org/entry/134610", "134610")</f>
        <v>134610</v>
      </c>
      <c r="K264" s="0" t="s">
        <v>46</v>
      </c>
      <c r="L264" s="0" t="s">
        <v>46</v>
      </c>
      <c r="M264" s="0" t="s">
        <v>46</v>
      </c>
      <c r="N264" s="0" t="s">
        <v>46</v>
      </c>
    </row>
    <row r="265" customFormat="false" ht="15" hidden="false" customHeight="false" outlineLevel="0" collapsed="false">
      <c r="A265" s="0" t="s">
        <v>3973</v>
      </c>
      <c r="B265" s="0" t="s">
        <v>46</v>
      </c>
      <c r="C265" s="0" t="s">
        <v>1862</v>
      </c>
      <c r="D265" s="0" t="s">
        <v>46</v>
      </c>
      <c r="E265" s="0" t="s">
        <v>46</v>
      </c>
      <c r="F265" s="0" t="s">
        <v>46</v>
      </c>
      <c r="G265" s="0" t="s">
        <v>46</v>
      </c>
      <c r="H265" s="0" t="s">
        <v>46</v>
      </c>
      <c r="I265" s="0" t="s">
        <v>46</v>
      </c>
      <c r="J265" s="0" t="s">
        <v>46</v>
      </c>
      <c r="K265" s="0" t="s">
        <v>46</v>
      </c>
      <c r="L265" s="0" t="s">
        <v>46</v>
      </c>
      <c r="M265" s="0" t="s">
        <v>46</v>
      </c>
      <c r="N265" s="0" t="s">
        <v>46</v>
      </c>
    </row>
    <row r="266" customFormat="false" ht="15" hidden="false" customHeight="false" outlineLevel="0" collapsed="false">
      <c r="A266" s="0" t="s">
        <v>3974</v>
      </c>
      <c r="B266" s="0" t="s">
        <v>3007</v>
      </c>
      <c r="C266" s="0" t="s">
        <v>3008</v>
      </c>
      <c r="D266" s="0" t="s">
        <v>3009</v>
      </c>
      <c r="E266" s="0" t="s">
        <v>3010</v>
      </c>
      <c r="F266" s="0" t="s">
        <v>3975</v>
      </c>
      <c r="G266" s="0" t="s">
        <v>46</v>
      </c>
      <c r="H266" s="0" t="s">
        <v>46</v>
      </c>
      <c r="I266" s="0" t="str">
        <f aca="false">HYPERLINK("https://omim.org/entry/177900", "177900")</f>
        <v>177900</v>
      </c>
      <c r="J266" s="0" t="str">
        <f aca="false">HYPERLINK("https://omim.org/entry/607507", "607507")</f>
        <v>607507</v>
      </c>
      <c r="K266" s="0" t="s">
        <v>46</v>
      </c>
      <c r="L266" s="0" t="s">
        <v>46</v>
      </c>
      <c r="M266" s="0" t="s">
        <v>46</v>
      </c>
      <c r="N266" s="0" t="s">
        <v>46</v>
      </c>
    </row>
    <row r="267" customFormat="false" ht="15" hidden="false" customHeight="false" outlineLevel="0" collapsed="false">
      <c r="A267" s="0" t="s">
        <v>3976</v>
      </c>
      <c r="B267" s="0" t="s">
        <v>46</v>
      </c>
      <c r="C267" s="0" t="s">
        <v>3977</v>
      </c>
      <c r="D267" s="0" t="s">
        <v>46</v>
      </c>
      <c r="E267" s="0" t="s">
        <v>46</v>
      </c>
      <c r="F267" s="0" t="s">
        <v>46</v>
      </c>
      <c r="G267" s="0" t="s">
        <v>46</v>
      </c>
      <c r="H267" s="0" t="s">
        <v>46</v>
      </c>
      <c r="I267" s="0" t="s">
        <v>46</v>
      </c>
      <c r="J267" s="0" t="s">
        <v>46</v>
      </c>
      <c r="K267" s="0" t="s">
        <v>46</v>
      </c>
      <c r="L267" s="0" t="s">
        <v>46</v>
      </c>
      <c r="M267" s="0" t="s">
        <v>46</v>
      </c>
      <c r="N267" s="0" t="s">
        <v>46</v>
      </c>
    </row>
    <row r="268" customFormat="false" ht="15" hidden="false" customHeight="false" outlineLevel="0" collapsed="false">
      <c r="A268" s="0" t="s">
        <v>3978</v>
      </c>
      <c r="B268" s="0" t="s">
        <v>46</v>
      </c>
      <c r="C268" s="0" t="s">
        <v>3979</v>
      </c>
      <c r="D268" s="0" t="s">
        <v>46</v>
      </c>
      <c r="E268" s="0" t="s">
        <v>46</v>
      </c>
      <c r="F268" s="0" t="s">
        <v>46</v>
      </c>
      <c r="G268" s="0" t="s">
        <v>46</v>
      </c>
      <c r="H268" s="0" t="s">
        <v>46</v>
      </c>
      <c r="I268" s="0" t="s">
        <v>46</v>
      </c>
      <c r="J268" s="0" t="s">
        <v>46</v>
      </c>
      <c r="K268" s="0" t="s">
        <v>46</v>
      </c>
      <c r="L268" s="0" t="s">
        <v>46</v>
      </c>
      <c r="M268" s="0" t="s">
        <v>46</v>
      </c>
      <c r="N268" s="0" t="s">
        <v>46</v>
      </c>
    </row>
    <row r="269" customFormat="false" ht="15" hidden="false" customHeight="false" outlineLevel="0" collapsed="false">
      <c r="A269" s="0" t="s">
        <v>3980</v>
      </c>
      <c r="B269" s="0" t="s">
        <v>1061</v>
      </c>
      <c r="C269" s="0" t="s">
        <v>1062</v>
      </c>
      <c r="D269" s="0" t="s">
        <v>1063</v>
      </c>
      <c r="E269" s="0" t="s">
        <v>46</v>
      </c>
      <c r="F269" s="0" t="s">
        <v>3981</v>
      </c>
      <c r="G269" s="0" t="s">
        <v>3982</v>
      </c>
      <c r="H269" s="0" t="s">
        <v>3540</v>
      </c>
      <c r="I269" s="0" t="s">
        <v>46</v>
      </c>
      <c r="J269" s="0" t="s">
        <v>46</v>
      </c>
      <c r="K269" s="0" t="s">
        <v>46</v>
      </c>
      <c r="L269" s="0" t="s">
        <v>46</v>
      </c>
      <c r="M269" s="0" t="s">
        <v>46</v>
      </c>
      <c r="N269" s="0" t="s">
        <v>46</v>
      </c>
    </row>
    <row r="270" customFormat="false" ht="15" hidden="false" customHeight="false" outlineLevel="0" collapsed="false">
      <c r="A270" s="0" t="s">
        <v>3983</v>
      </c>
      <c r="B270" s="0" t="s">
        <v>2812</v>
      </c>
      <c r="C270" s="0" t="s">
        <v>2813</v>
      </c>
      <c r="D270" s="0" t="s">
        <v>2814</v>
      </c>
      <c r="E270" s="0" t="s">
        <v>2815</v>
      </c>
      <c r="F270" s="0" t="s">
        <v>3984</v>
      </c>
      <c r="G270" s="0" t="s">
        <v>46</v>
      </c>
      <c r="H270" s="0" t="s">
        <v>46</v>
      </c>
      <c r="I270" s="0" t="str">
        <f aca="false">HYPERLINK("https://omim.org/entry/603932", "603932")</f>
        <v>603932</v>
      </c>
      <c r="J270" s="0" t="str">
        <f aca="false">HYPERLINK("https://omim.org/entry/613073", "613073")</f>
        <v>613073</v>
      </c>
      <c r="K270" s="0" t="s">
        <v>46</v>
      </c>
      <c r="L270" s="0" t="s">
        <v>46</v>
      </c>
      <c r="M270" s="0" t="s">
        <v>46</v>
      </c>
      <c r="N270" s="0" t="s">
        <v>46</v>
      </c>
    </row>
    <row r="271" customFormat="false" ht="15" hidden="false" customHeight="false" outlineLevel="0" collapsed="false">
      <c r="A271" s="0" t="s">
        <v>3985</v>
      </c>
      <c r="B271" s="0" t="s">
        <v>1733</v>
      </c>
      <c r="C271" s="0" t="s">
        <v>1734</v>
      </c>
      <c r="D271" s="0" t="s">
        <v>1735</v>
      </c>
      <c r="E271" s="0" t="s">
        <v>46</v>
      </c>
      <c r="F271" s="0" t="s">
        <v>3986</v>
      </c>
      <c r="G271" s="0" t="s">
        <v>3987</v>
      </c>
      <c r="H271" s="0" t="s">
        <v>46</v>
      </c>
      <c r="I271" s="0" t="s">
        <v>46</v>
      </c>
      <c r="J271" s="0" t="s">
        <v>46</v>
      </c>
      <c r="K271" s="0" t="s">
        <v>46</v>
      </c>
      <c r="L271" s="0" t="s">
        <v>46</v>
      </c>
      <c r="M271" s="0" t="s">
        <v>46</v>
      </c>
      <c r="N271" s="0" t="s">
        <v>46</v>
      </c>
    </row>
    <row r="272" customFormat="false" ht="15" hidden="false" customHeight="false" outlineLevel="0" collapsed="false">
      <c r="A272" s="0" t="s">
        <v>3988</v>
      </c>
      <c r="B272" s="0" t="s">
        <v>1819</v>
      </c>
      <c r="C272" s="0" t="s">
        <v>1820</v>
      </c>
      <c r="D272" s="0" t="s">
        <v>46</v>
      </c>
      <c r="E272" s="0" t="s">
        <v>46</v>
      </c>
      <c r="F272" s="0" t="s">
        <v>46</v>
      </c>
      <c r="G272" s="0" t="s">
        <v>3989</v>
      </c>
      <c r="H272" s="0" t="s">
        <v>3990</v>
      </c>
      <c r="I272" s="0" t="s">
        <v>46</v>
      </c>
      <c r="J272" s="0" t="s">
        <v>46</v>
      </c>
      <c r="K272" s="0" t="s">
        <v>46</v>
      </c>
      <c r="L272" s="0" t="s">
        <v>46</v>
      </c>
      <c r="M272" s="0" t="s">
        <v>46</v>
      </c>
      <c r="N272" s="0" t="s">
        <v>46</v>
      </c>
    </row>
    <row r="273" customFormat="false" ht="15" hidden="false" customHeight="false" outlineLevel="0" collapsed="false">
      <c r="A273" s="0" t="s">
        <v>3991</v>
      </c>
      <c r="B273" s="0" t="s">
        <v>3111</v>
      </c>
      <c r="C273" s="0" t="s">
        <v>3112</v>
      </c>
      <c r="D273" s="0" t="s">
        <v>3113</v>
      </c>
      <c r="E273" s="0" t="s">
        <v>3114</v>
      </c>
      <c r="F273" s="0" t="s">
        <v>3992</v>
      </c>
      <c r="G273" s="0" t="s">
        <v>46</v>
      </c>
      <c r="H273" s="0" t="s">
        <v>46</v>
      </c>
      <c r="I273" s="0" t="s">
        <v>46</v>
      </c>
      <c r="J273" s="0" t="s">
        <v>46</v>
      </c>
      <c r="K273" s="0" t="s">
        <v>46</v>
      </c>
      <c r="L273" s="0" t="s">
        <v>46</v>
      </c>
      <c r="M273" s="0" t="s">
        <v>46</v>
      </c>
      <c r="N273" s="0" t="s">
        <v>46</v>
      </c>
    </row>
    <row r="274" customFormat="false" ht="15" hidden="false" customHeight="false" outlineLevel="0" collapsed="false">
      <c r="A274" s="0" t="s">
        <v>3993</v>
      </c>
      <c r="B274" s="0" t="s">
        <v>3030</v>
      </c>
      <c r="C274" s="0" t="s">
        <v>3031</v>
      </c>
      <c r="D274" s="0" t="s">
        <v>3032</v>
      </c>
      <c r="E274" s="0" t="s">
        <v>46</v>
      </c>
      <c r="F274" s="0" t="s">
        <v>3994</v>
      </c>
      <c r="G274" s="0" t="s">
        <v>46</v>
      </c>
      <c r="H274" s="0" t="s">
        <v>46</v>
      </c>
      <c r="I274" s="0" t="s">
        <v>46</v>
      </c>
      <c r="J274" s="0" t="s">
        <v>46</v>
      </c>
      <c r="K274" s="0" t="s">
        <v>46</v>
      </c>
      <c r="L274" s="0" t="s">
        <v>46</v>
      </c>
      <c r="M274" s="0" t="s">
        <v>46</v>
      </c>
      <c r="N274" s="0" t="s">
        <v>46</v>
      </c>
    </row>
    <row r="275" customFormat="false" ht="15" hidden="false" customHeight="false" outlineLevel="0" collapsed="false">
      <c r="A275" s="0" t="s">
        <v>3995</v>
      </c>
      <c r="B275" s="0" t="s">
        <v>46</v>
      </c>
      <c r="C275" s="0" t="s">
        <v>1372</v>
      </c>
      <c r="D275" s="0" t="s">
        <v>1373</v>
      </c>
      <c r="E275" s="0" t="s">
        <v>46</v>
      </c>
      <c r="F275" s="0" t="s">
        <v>3996</v>
      </c>
      <c r="G275" s="0" t="s">
        <v>46</v>
      </c>
      <c r="H275" s="0" t="s">
        <v>46</v>
      </c>
      <c r="I275" s="0" t="s">
        <v>46</v>
      </c>
      <c r="J275" s="0" t="s">
        <v>46</v>
      </c>
      <c r="K275" s="0" t="s">
        <v>46</v>
      </c>
      <c r="L275" s="0" t="s">
        <v>46</v>
      </c>
      <c r="M275" s="0" t="s">
        <v>46</v>
      </c>
      <c r="N275" s="0" t="s">
        <v>46</v>
      </c>
    </row>
    <row r="276" customFormat="false" ht="15" hidden="false" customHeight="false" outlineLevel="0" collapsed="false">
      <c r="A276" s="0" t="s">
        <v>3997</v>
      </c>
      <c r="B276" s="0" t="s">
        <v>1824</v>
      </c>
      <c r="C276" s="0" t="s">
        <v>1825</v>
      </c>
      <c r="D276" s="0" t="s">
        <v>1826</v>
      </c>
      <c r="E276" s="0" t="s">
        <v>1827</v>
      </c>
      <c r="F276" s="0" t="s">
        <v>46</v>
      </c>
      <c r="G276" s="0" t="s">
        <v>3998</v>
      </c>
      <c r="H276" s="0" t="s">
        <v>3999</v>
      </c>
      <c r="I276" s="0" t="str">
        <f aca="false">HYPERLINK("https://omim.org/entry/251000", "251000")</f>
        <v>251000</v>
      </c>
      <c r="J276" s="0" t="s">
        <v>46</v>
      </c>
      <c r="K276" s="0" t="s">
        <v>46</v>
      </c>
      <c r="L276" s="0" t="s">
        <v>46</v>
      </c>
      <c r="M276" s="0" t="s">
        <v>46</v>
      </c>
      <c r="N276" s="0" t="s">
        <v>46</v>
      </c>
    </row>
    <row r="277" customFormat="false" ht="15" hidden="false" customHeight="false" outlineLevel="0" collapsed="false">
      <c r="A277" s="0" t="s">
        <v>4000</v>
      </c>
      <c r="B277" s="0" t="s">
        <v>568</v>
      </c>
      <c r="C277" s="0" t="s">
        <v>569</v>
      </c>
      <c r="D277" s="0" t="s">
        <v>46</v>
      </c>
      <c r="E277" s="0" t="s">
        <v>46</v>
      </c>
      <c r="F277" s="0" t="s">
        <v>46</v>
      </c>
      <c r="G277" s="0" t="s">
        <v>4001</v>
      </c>
      <c r="H277" s="0" t="s">
        <v>46</v>
      </c>
      <c r="I277" s="0" t="s">
        <v>46</v>
      </c>
      <c r="J277" s="0" t="s">
        <v>46</v>
      </c>
      <c r="K277" s="0" t="s">
        <v>46</v>
      </c>
      <c r="L277" s="0" t="s">
        <v>46</v>
      </c>
      <c r="M277" s="0" t="s">
        <v>46</v>
      </c>
      <c r="N277" s="0" t="s">
        <v>46</v>
      </c>
    </row>
    <row r="278" customFormat="false" ht="15" hidden="false" customHeight="false" outlineLevel="0" collapsed="false">
      <c r="A278" s="0" t="s">
        <v>4002</v>
      </c>
      <c r="B278" s="0" t="s">
        <v>2138</v>
      </c>
      <c r="C278" s="0" t="s">
        <v>2139</v>
      </c>
      <c r="D278" s="0" t="s">
        <v>2140</v>
      </c>
      <c r="E278" s="0" t="s">
        <v>2141</v>
      </c>
      <c r="F278" s="0" t="s">
        <v>4003</v>
      </c>
      <c r="G278" s="0" t="s">
        <v>4004</v>
      </c>
      <c r="H278" s="0" t="s">
        <v>4005</v>
      </c>
      <c r="I278" s="0" t="str">
        <f aca="false">HYPERLINK("https://omim.org/entry/132900", "132900")</f>
        <v>132900</v>
      </c>
      <c r="J278" s="0" t="s">
        <v>46</v>
      </c>
      <c r="K278" s="0" t="s">
        <v>46</v>
      </c>
      <c r="L278" s="0" t="s">
        <v>46</v>
      </c>
      <c r="M278" s="0" t="s">
        <v>46</v>
      </c>
      <c r="N278" s="0" t="s">
        <v>46</v>
      </c>
    </row>
    <row r="279" customFormat="false" ht="15" hidden="false" customHeight="false" outlineLevel="0" collapsed="false">
      <c r="A279" s="0" t="s">
        <v>4006</v>
      </c>
      <c r="B279" s="0" t="s">
        <v>2454</v>
      </c>
      <c r="C279" s="0" t="s">
        <v>2455</v>
      </c>
      <c r="D279" s="0" t="s">
        <v>2140</v>
      </c>
      <c r="E279" s="0" t="s">
        <v>2456</v>
      </c>
      <c r="F279" s="0" t="s">
        <v>46</v>
      </c>
      <c r="G279" s="0" t="s">
        <v>4007</v>
      </c>
      <c r="H279" s="0" t="s">
        <v>4008</v>
      </c>
      <c r="I279" s="0" t="str">
        <f aca="false">HYPERLINK("https://omim.org/entry/614089", "614089")</f>
        <v>614089</v>
      </c>
      <c r="J279" s="0" t="str">
        <f aca="false">HYPERLINK("https://omim.org/entry/613251", "613251")</f>
        <v>613251</v>
      </c>
      <c r="K279" s="0" t="str">
        <f aca="false">HYPERLINK("https://omim.org/entry/613252", "613252")</f>
        <v>613252</v>
      </c>
      <c r="L279" s="0" t="str">
        <f aca="false">HYPERLINK("https://omim.org/entry/614090", "614090")</f>
        <v>614090</v>
      </c>
      <c r="M279" s="0" t="s">
        <v>46</v>
      </c>
      <c r="N279" s="0" t="s">
        <v>46</v>
      </c>
    </row>
    <row r="280" customFormat="false" ht="15" hidden="false" customHeight="false" outlineLevel="0" collapsed="false">
      <c r="A280" s="0" t="s">
        <v>4009</v>
      </c>
      <c r="B280" s="0" t="s">
        <v>46</v>
      </c>
      <c r="C280" s="0" t="s">
        <v>1270</v>
      </c>
      <c r="D280" s="0" t="s">
        <v>1271</v>
      </c>
      <c r="E280" s="0" t="s">
        <v>46</v>
      </c>
      <c r="F280" s="0" t="s">
        <v>4010</v>
      </c>
      <c r="G280" s="0" t="s">
        <v>4011</v>
      </c>
      <c r="H280" s="0" t="s">
        <v>3897</v>
      </c>
      <c r="I280" s="0" t="s">
        <v>46</v>
      </c>
      <c r="J280" s="0" t="s">
        <v>46</v>
      </c>
      <c r="K280" s="0" t="s">
        <v>46</v>
      </c>
      <c r="L280" s="0" t="s">
        <v>46</v>
      </c>
      <c r="M280" s="0" t="s">
        <v>46</v>
      </c>
      <c r="N280" s="0" t="s">
        <v>46</v>
      </c>
    </row>
    <row r="281" customFormat="false" ht="15" hidden="false" customHeight="false" outlineLevel="0" collapsed="false">
      <c r="A281" s="0" t="s">
        <v>4012</v>
      </c>
      <c r="B281" s="0" t="s">
        <v>2570</v>
      </c>
      <c r="C281" s="0" t="s">
        <v>2571</v>
      </c>
      <c r="D281" s="0" t="s">
        <v>2572</v>
      </c>
      <c r="E281" s="0" t="s">
        <v>46</v>
      </c>
      <c r="F281" s="0" t="s">
        <v>46</v>
      </c>
      <c r="G281" s="0" t="s">
        <v>4013</v>
      </c>
      <c r="H281" s="0" t="s">
        <v>3897</v>
      </c>
      <c r="I281" s="0" t="s">
        <v>46</v>
      </c>
      <c r="J281" s="0" t="s">
        <v>46</v>
      </c>
      <c r="K281" s="0" t="s">
        <v>46</v>
      </c>
      <c r="L281" s="0" t="s">
        <v>46</v>
      </c>
      <c r="M281" s="0" t="s">
        <v>46</v>
      </c>
      <c r="N281" s="0" t="s">
        <v>46</v>
      </c>
    </row>
    <row r="282" customFormat="false" ht="15" hidden="false" customHeight="false" outlineLevel="0" collapsed="false">
      <c r="A282" s="0" t="s">
        <v>4014</v>
      </c>
      <c r="B282" s="0" t="s">
        <v>139</v>
      </c>
      <c r="C282" s="0" t="s">
        <v>140</v>
      </c>
      <c r="D282" s="0" t="s">
        <v>141</v>
      </c>
      <c r="E282" s="0" t="s">
        <v>46</v>
      </c>
      <c r="F282" s="0" t="s">
        <v>4015</v>
      </c>
      <c r="G282" s="0" t="s">
        <v>4016</v>
      </c>
      <c r="H282" s="0" t="s">
        <v>4017</v>
      </c>
      <c r="I282" s="0" t="s">
        <v>46</v>
      </c>
      <c r="J282" s="0" t="s">
        <v>46</v>
      </c>
      <c r="K282" s="0" t="s">
        <v>46</v>
      </c>
      <c r="L282" s="0" t="s">
        <v>46</v>
      </c>
      <c r="M282" s="0" t="s">
        <v>46</v>
      </c>
      <c r="N282" s="0" t="s">
        <v>46</v>
      </c>
    </row>
    <row r="283" customFormat="false" ht="15" hidden="false" customHeight="false" outlineLevel="0" collapsed="false">
      <c r="A283" s="0" t="s">
        <v>4018</v>
      </c>
      <c r="B283" s="0" t="s">
        <v>651</v>
      </c>
      <c r="C283" s="0" t="s">
        <v>652</v>
      </c>
      <c r="D283" s="0" t="s">
        <v>653</v>
      </c>
      <c r="E283" s="0" t="s">
        <v>46</v>
      </c>
      <c r="F283" s="0" t="s">
        <v>46</v>
      </c>
      <c r="G283" s="0" t="s">
        <v>4019</v>
      </c>
      <c r="H283" s="0" t="s">
        <v>4020</v>
      </c>
      <c r="I283" s="0" t="s">
        <v>46</v>
      </c>
      <c r="J283" s="0" t="s">
        <v>46</v>
      </c>
      <c r="K283" s="0" t="s">
        <v>46</v>
      </c>
      <c r="L283" s="0" t="s">
        <v>46</v>
      </c>
      <c r="M283" s="0" t="s">
        <v>46</v>
      </c>
      <c r="N283" s="0" t="s">
        <v>46</v>
      </c>
    </row>
    <row r="284" customFormat="false" ht="15" hidden="false" customHeight="false" outlineLevel="0" collapsed="false">
      <c r="A284" s="0" t="s">
        <v>4021</v>
      </c>
      <c r="B284" s="0" t="s">
        <v>2984</v>
      </c>
      <c r="C284" s="0" t="s">
        <v>2985</v>
      </c>
      <c r="D284" s="0" t="s">
        <v>2986</v>
      </c>
      <c r="E284" s="0" t="s">
        <v>2987</v>
      </c>
      <c r="F284" s="0" t="s">
        <v>4022</v>
      </c>
      <c r="G284" s="0" t="s">
        <v>4023</v>
      </c>
      <c r="H284" s="0" t="s">
        <v>4024</v>
      </c>
      <c r="I284" s="0" t="str">
        <f aca="false">HYPERLINK("https://omim.org/entry/609200", "609200")</f>
        <v>609200</v>
      </c>
      <c r="J284" s="0" t="str">
        <f aca="false">HYPERLINK("https://omim.org/entry/182920", "182920")</f>
        <v>182920</v>
      </c>
      <c r="K284" s="0" t="s">
        <v>46</v>
      </c>
      <c r="L284" s="0" t="s">
        <v>46</v>
      </c>
      <c r="M284" s="0" t="s">
        <v>46</v>
      </c>
      <c r="N284" s="0" t="s">
        <v>46</v>
      </c>
    </row>
    <row r="285" customFormat="false" ht="15" hidden="false" customHeight="false" outlineLevel="0" collapsed="false">
      <c r="A285" s="0" t="s">
        <v>4025</v>
      </c>
      <c r="B285" s="0" t="s">
        <v>4026</v>
      </c>
      <c r="C285" s="0" t="s">
        <v>4027</v>
      </c>
      <c r="D285" s="0" t="s">
        <v>3715</v>
      </c>
      <c r="E285" s="0" t="s">
        <v>46</v>
      </c>
      <c r="F285" s="0" t="s">
        <v>3716</v>
      </c>
      <c r="G285" s="0" t="s">
        <v>46</v>
      </c>
      <c r="H285" s="0" t="s">
        <v>46</v>
      </c>
      <c r="I285" s="0" t="s">
        <v>46</v>
      </c>
      <c r="J285" s="0" t="s">
        <v>46</v>
      </c>
      <c r="K285" s="0" t="s">
        <v>46</v>
      </c>
      <c r="L285" s="0" t="s">
        <v>46</v>
      </c>
      <c r="M285" s="0" t="s">
        <v>46</v>
      </c>
      <c r="N285" s="0" t="s">
        <v>46</v>
      </c>
    </row>
    <row r="286" customFormat="false" ht="15" hidden="false" customHeight="false" outlineLevel="0" collapsed="false">
      <c r="A286" s="0" t="s">
        <v>4028</v>
      </c>
      <c r="B286" s="0" t="s">
        <v>2397</v>
      </c>
      <c r="C286" s="0" t="s">
        <v>2398</v>
      </c>
      <c r="D286" s="0" t="s">
        <v>2399</v>
      </c>
      <c r="E286" s="0" t="s">
        <v>46</v>
      </c>
      <c r="F286" s="0" t="s">
        <v>46</v>
      </c>
      <c r="G286" s="0" t="s">
        <v>4029</v>
      </c>
      <c r="H286" s="0" t="s">
        <v>4030</v>
      </c>
      <c r="I286" s="0" t="s">
        <v>46</v>
      </c>
      <c r="J286" s="0" t="s">
        <v>46</v>
      </c>
      <c r="K286" s="0" t="s">
        <v>46</v>
      </c>
      <c r="L286" s="0" t="s">
        <v>46</v>
      </c>
      <c r="M286" s="0" t="s">
        <v>46</v>
      </c>
      <c r="N286" s="0" t="s">
        <v>46</v>
      </c>
    </row>
    <row r="287" customFormat="false" ht="15" hidden="false" customHeight="false" outlineLevel="0" collapsed="false">
      <c r="A287" s="0" t="s">
        <v>4031</v>
      </c>
      <c r="B287" s="0" t="s">
        <v>1166</v>
      </c>
      <c r="C287" s="0" t="s">
        <v>1167</v>
      </c>
      <c r="D287" s="0" t="s">
        <v>1168</v>
      </c>
      <c r="E287" s="0" t="s">
        <v>46</v>
      </c>
      <c r="F287" s="0" t="s">
        <v>4032</v>
      </c>
      <c r="G287" s="0" t="s">
        <v>4033</v>
      </c>
      <c r="H287" s="0" t="s">
        <v>3540</v>
      </c>
      <c r="I287" s="0" t="s">
        <v>46</v>
      </c>
      <c r="J287" s="0" t="s">
        <v>46</v>
      </c>
      <c r="K287" s="0" t="s">
        <v>46</v>
      </c>
      <c r="L287" s="0" t="s">
        <v>46</v>
      </c>
      <c r="M287" s="0" t="s">
        <v>46</v>
      </c>
      <c r="N287" s="0" t="s">
        <v>46</v>
      </c>
    </row>
    <row r="288" customFormat="false" ht="15" hidden="false" customHeight="false" outlineLevel="0" collapsed="false">
      <c r="A288" s="0" t="s">
        <v>4034</v>
      </c>
      <c r="B288" s="0" t="s">
        <v>857</v>
      </c>
      <c r="C288" s="0" t="s">
        <v>858</v>
      </c>
      <c r="D288" s="0" t="s">
        <v>859</v>
      </c>
      <c r="E288" s="0" t="s">
        <v>46</v>
      </c>
      <c r="F288" s="0" t="s">
        <v>4035</v>
      </c>
      <c r="G288" s="0" t="s">
        <v>4036</v>
      </c>
      <c r="H288" s="0" t="s">
        <v>4037</v>
      </c>
      <c r="I288" s="0" t="s">
        <v>46</v>
      </c>
      <c r="J288" s="0" t="s">
        <v>46</v>
      </c>
      <c r="K288" s="0" t="s">
        <v>46</v>
      </c>
      <c r="L288" s="0" t="s">
        <v>46</v>
      </c>
      <c r="M288" s="0" t="s">
        <v>46</v>
      </c>
      <c r="N288" s="0" t="s">
        <v>46</v>
      </c>
    </row>
    <row r="289" customFormat="false" ht="15" hidden="false" customHeight="false" outlineLevel="0" collapsed="false">
      <c r="A289" s="0" t="s">
        <v>4038</v>
      </c>
      <c r="B289" s="0" t="s">
        <v>2303</v>
      </c>
      <c r="C289" s="0" t="s">
        <v>2304</v>
      </c>
      <c r="D289" s="0" t="s">
        <v>2305</v>
      </c>
      <c r="E289" s="0" t="s">
        <v>46</v>
      </c>
      <c r="F289" s="0" t="s">
        <v>46</v>
      </c>
      <c r="G289" s="0" t="s">
        <v>4039</v>
      </c>
      <c r="H289" s="0" t="s">
        <v>4040</v>
      </c>
      <c r="I289" s="0" t="s">
        <v>46</v>
      </c>
      <c r="J289" s="0" t="s">
        <v>46</v>
      </c>
      <c r="K289" s="0" t="s">
        <v>46</v>
      </c>
      <c r="L289" s="0" t="s">
        <v>46</v>
      </c>
      <c r="M289" s="0" t="s">
        <v>46</v>
      </c>
      <c r="N289" s="0" t="s">
        <v>46</v>
      </c>
    </row>
    <row r="290" customFormat="false" ht="15" hidden="false" customHeight="false" outlineLevel="0" collapsed="false">
      <c r="A290" s="0" t="s">
        <v>4041</v>
      </c>
      <c r="B290" s="0" t="s">
        <v>2485</v>
      </c>
      <c r="C290" s="0" t="s">
        <v>2486</v>
      </c>
      <c r="D290" s="0" t="s">
        <v>2487</v>
      </c>
      <c r="E290" s="0" t="s">
        <v>46</v>
      </c>
      <c r="F290" s="0" t="s">
        <v>4042</v>
      </c>
      <c r="G290" s="0" t="s">
        <v>4043</v>
      </c>
      <c r="H290" s="0" t="s">
        <v>4044</v>
      </c>
      <c r="I290" s="0" t="s">
        <v>46</v>
      </c>
      <c r="J290" s="0" t="s">
        <v>46</v>
      </c>
      <c r="K290" s="0" t="s">
        <v>46</v>
      </c>
      <c r="L290" s="0" t="s">
        <v>46</v>
      </c>
      <c r="M290" s="0" t="s">
        <v>46</v>
      </c>
      <c r="N290" s="0" t="s">
        <v>46</v>
      </c>
    </row>
    <row r="291" customFormat="false" ht="15" hidden="false" customHeight="false" outlineLevel="0" collapsed="false">
      <c r="A291" s="0" t="s">
        <v>4045</v>
      </c>
      <c r="B291" s="0" t="s">
        <v>2604</v>
      </c>
      <c r="C291" s="0" t="s">
        <v>2605</v>
      </c>
      <c r="D291" s="0" t="s">
        <v>2606</v>
      </c>
      <c r="E291" s="0" t="s">
        <v>2607</v>
      </c>
      <c r="F291" s="0" t="s">
        <v>4046</v>
      </c>
      <c r="G291" s="0" t="s">
        <v>4047</v>
      </c>
      <c r="H291" s="0" t="s">
        <v>46</v>
      </c>
      <c r="I291" s="0" t="str">
        <f aca="false">HYPERLINK("https://omim.org/entry/615415", "615415")</f>
        <v>615415</v>
      </c>
      <c r="J291" s="0" t="s">
        <v>46</v>
      </c>
      <c r="K291" s="0" t="s">
        <v>46</v>
      </c>
      <c r="L291" s="0" t="s">
        <v>46</v>
      </c>
      <c r="M291" s="0" t="s">
        <v>46</v>
      </c>
      <c r="N291" s="0" t="s">
        <v>46</v>
      </c>
    </row>
    <row r="292" customFormat="false" ht="15" hidden="false" customHeight="false" outlineLevel="0" collapsed="false">
      <c r="A292" s="0" t="s">
        <v>4048</v>
      </c>
      <c r="B292" s="0" t="s">
        <v>2342</v>
      </c>
      <c r="C292" s="0" t="s">
        <v>2343</v>
      </c>
      <c r="D292" s="0" t="s">
        <v>2344</v>
      </c>
      <c r="E292" s="0" t="s">
        <v>46</v>
      </c>
      <c r="F292" s="0" t="s">
        <v>46</v>
      </c>
      <c r="G292" s="0" t="s">
        <v>4049</v>
      </c>
      <c r="H292" s="0" t="s">
        <v>4050</v>
      </c>
      <c r="I292" s="0" t="s">
        <v>46</v>
      </c>
      <c r="J292" s="0" t="s">
        <v>46</v>
      </c>
      <c r="K292" s="0" t="s">
        <v>46</v>
      </c>
      <c r="L292" s="0" t="s">
        <v>46</v>
      </c>
      <c r="M292" s="0" t="s">
        <v>46</v>
      </c>
      <c r="N292" s="0" t="s">
        <v>46</v>
      </c>
    </row>
    <row r="293" customFormat="false" ht="15" hidden="false" customHeight="false" outlineLevel="0" collapsed="false">
      <c r="A293" s="0" t="s">
        <v>4051</v>
      </c>
      <c r="B293" s="0" t="s">
        <v>3116</v>
      </c>
      <c r="C293" s="0" t="s">
        <v>3117</v>
      </c>
      <c r="D293" s="0" t="s">
        <v>3118</v>
      </c>
      <c r="E293" s="0" t="s">
        <v>46</v>
      </c>
      <c r="F293" s="0" t="s">
        <v>46</v>
      </c>
      <c r="G293" s="0" t="s">
        <v>4052</v>
      </c>
      <c r="H293" s="0" t="s">
        <v>4053</v>
      </c>
      <c r="I293" s="0" t="s">
        <v>46</v>
      </c>
      <c r="J293" s="0" t="s">
        <v>46</v>
      </c>
      <c r="K293" s="0" t="s">
        <v>46</v>
      </c>
      <c r="L293" s="0" t="s">
        <v>46</v>
      </c>
      <c r="M293" s="0" t="s">
        <v>46</v>
      </c>
      <c r="N293" s="0" t="s">
        <v>46</v>
      </c>
    </row>
    <row r="294" customFormat="false" ht="15" hidden="false" customHeight="false" outlineLevel="0" collapsed="false">
      <c r="A294" s="0" t="s">
        <v>4054</v>
      </c>
      <c r="B294" s="0" t="s">
        <v>351</v>
      </c>
      <c r="C294" s="0" t="s">
        <v>352</v>
      </c>
      <c r="D294" s="0" t="s">
        <v>353</v>
      </c>
      <c r="E294" s="0" t="s">
        <v>46</v>
      </c>
      <c r="F294" s="0" t="s">
        <v>4055</v>
      </c>
      <c r="G294" s="0" t="s">
        <v>4056</v>
      </c>
      <c r="H294" s="0" t="s">
        <v>4057</v>
      </c>
      <c r="I294" s="0" t="s">
        <v>46</v>
      </c>
      <c r="J294" s="0" t="s">
        <v>46</v>
      </c>
      <c r="K294" s="0" t="s">
        <v>46</v>
      </c>
      <c r="L294" s="0" t="s">
        <v>46</v>
      </c>
      <c r="M294" s="0" t="s">
        <v>46</v>
      </c>
      <c r="N294" s="0" t="s">
        <v>46</v>
      </c>
    </row>
    <row r="295" customFormat="false" ht="15" hidden="false" customHeight="false" outlineLevel="0" collapsed="false">
      <c r="A295" s="0" t="s">
        <v>4058</v>
      </c>
      <c r="B295" s="0" t="s">
        <v>1842</v>
      </c>
      <c r="C295" s="0" t="s">
        <v>1843</v>
      </c>
      <c r="D295" s="0" t="s">
        <v>46</v>
      </c>
      <c r="E295" s="0" t="s">
        <v>46</v>
      </c>
      <c r="F295" s="0" t="s">
        <v>4059</v>
      </c>
      <c r="G295" s="0" t="s">
        <v>46</v>
      </c>
      <c r="H295" s="0" t="s">
        <v>46</v>
      </c>
      <c r="I295" s="0" t="s">
        <v>46</v>
      </c>
      <c r="J295" s="0" t="s">
        <v>46</v>
      </c>
      <c r="K295" s="0" t="s">
        <v>46</v>
      </c>
      <c r="L295" s="0" t="s">
        <v>46</v>
      </c>
      <c r="M295" s="0" t="s">
        <v>46</v>
      </c>
      <c r="N295" s="0" t="s">
        <v>46</v>
      </c>
    </row>
    <row r="296" customFormat="false" ht="15" hidden="false" customHeight="false" outlineLevel="0" collapsed="false">
      <c r="A296" s="0" t="s">
        <v>4060</v>
      </c>
      <c r="B296" s="0" t="s">
        <v>2745</v>
      </c>
      <c r="C296" s="0" t="s">
        <v>2746</v>
      </c>
      <c r="D296" s="0" t="s">
        <v>2747</v>
      </c>
      <c r="E296" s="0" t="s">
        <v>46</v>
      </c>
      <c r="F296" s="0" t="s">
        <v>46</v>
      </c>
      <c r="G296" s="0" t="s">
        <v>4061</v>
      </c>
      <c r="H296" s="0" t="s">
        <v>4062</v>
      </c>
      <c r="I296" s="0" t="s">
        <v>46</v>
      </c>
      <c r="J296" s="0" t="s">
        <v>46</v>
      </c>
      <c r="K296" s="0" t="s">
        <v>46</v>
      </c>
      <c r="L296" s="0" t="s">
        <v>46</v>
      </c>
      <c r="M296" s="0" t="s">
        <v>46</v>
      </c>
      <c r="N296" s="0" t="s">
        <v>46</v>
      </c>
    </row>
    <row r="297" customFormat="false" ht="15" hidden="false" customHeight="false" outlineLevel="0" collapsed="false">
      <c r="A297" s="0" t="s">
        <v>4063</v>
      </c>
      <c r="B297" s="0" t="s">
        <v>892</v>
      </c>
      <c r="C297" s="0" t="s">
        <v>893</v>
      </c>
      <c r="D297" s="0" t="s">
        <v>894</v>
      </c>
      <c r="E297" s="0" t="s">
        <v>46</v>
      </c>
      <c r="F297" s="0" t="s">
        <v>4064</v>
      </c>
      <c r="G297" s="0" t="s">
        <v>4065</v>
      </c>
      <c r="H297" s="0" t="s">
        <v>3893</v>
      </c>
      <c r="I297" s="0" t="s">
        <v>46</v>
      </c>
      <c r="J297" s="0" t="s">
        <v>46</v>
      </c>
      <c r="K297" s="0" t="s">
        <v>46</v>
      </c>
      <c r="L297" s="0" t="s">
        <v>46</v>
      </c>
      <c r="M297" s="0" t="s">
        <v>46</v>
      </c>
      <c r="N297" s="0" t="s">
        <v>46</v>
      </c>
    </row>
    <row r="298" customFormat="false" ht="15" hidden="false" customHeight="false" outlineLevel="0" collapsed="false">
      <c r="A298" s="0" t="s">
        <v>4066</v>
      </c>
      <c r="B298" s="0" t="s">
        <v>2536</v>
      </c>
      <c r="C298" s="0" t="s">
        <v>2537</v>
      </c>
      <c r="D298" s="0" t="s">
        <v>2538</v>
      </c>
      <c r="E298" s="0" t="s">
        <v>2539</v>
      </c>
      <c r="F298" s="0" t="s">
        <v>4067</v>
      </c>
      <c r="G298" s="0" t="s">
        <v>4068</v>
      </c>
      <c r="H298" s="0" t="s">
        <v>4069</v>
      </c>
      <c r="I298" s="0" t="str">
        <f aca="false">HYPERLINK("https://omim.org/entry/186580", "186580")</f>
        <v>186580</v>
      </c>
      <c r="J298" s="0" t="str">
        <f aca="false">HYPERLINK("https://omim.org/entry/266600", "266600")</f>
        <v>266600</v>
      </c>
      <c r="K298" s="0" t="str">
        <f aca="false">HYPERLINK("https://omim.org/entry/609464", "609464")</f>
        <v>609464</v>
      </c>
      <c r="L298" s="0" t="s">
        <v>46</v>
      </c>
      <c r="M298" s="0" t="s">
        <v>46</v>
      </c>
      <c r="N298" s="0" t="s">
        <v>46</v>
      </c>
    </row>
    <row r="299" customFormat="false" ht="15" hidden="false" customHeight="false" outlineLevel="0" collapsed="false">
      <c r="A299" s="0" t="s">
        <v>4070</v>
      </c>
      <c r="B299" s="0" t="s">
        <v>1815</v>
      </c>
      <c r="C299" s="0" t="s">
        <v>1816</v>
      </c>
      <c r="D299" s="0" t="s">
        <v>1817</v>
      </c>
      <c r="E299" s="0" t="s">
        <v>46</v>
      </c>
      <c r="F299" s="0" t="s">
        <v>4071</v>
      </c>
      <c r="G299" s="0" t="s">
        <v>46</v>
      </c>
      <c r="H299" s="0" t="s">
        <v>46</v>
      </c>
      <c r="I299" s="0" t="s">
        <v>46</v>
      </c>
      <c r="J299" s="0" t="s">
        <v>46</v>
      </c>
      <c r="K299" s="0" t="s">
        <v>46</v>
      </c>
      <c r="L299" s="0" t="s">
        <v>46</v>
      </c>
      <c r="M299" s="0" t="s">
        <v>46</v>
      </c>
      <c r="N299" s="0" t="s">
        <v>46</v>
      </c>
    </row>
    <row r="300" customFormat="false" ht="15" hidden="false" customHeight="false" outlineLevel="0" collapsed="false">
      <c r="A300" s="0" t="s">
        <v>4072</v>
      </c>
      <c r="B300" s="0" t="s">
        <v>634</v>
      </c>
      <c r="C300" s="0" t="s">
        <v>635</v>
      </c>
      <c r="D300" s="0" t="s">
        <v>636</v>
      </c>
      <c r="E300" s="0" t="s">
        <v>46</v>
      </c>
      <c r="F300" s="0" t="s">
        <v>4073</v>
      </c>
      <c r="G300" s="0" t="s">
        <v>46</v>
      </c>
      <c r="H300" s="0" t="s">
        <v>46</v>
      </c>
      <c r="I300" s="0" t="s">
        <v>46</v>
      </c>
      <c r="J300" s="0" t="s">
        <v>46</v>
      </c>
      <c r="K300" s="0" t="s">
        <v>46</v>
      </c>
      <c r="L300" s="0" t="s">
        <v>46</v>
      </c>
      <c r="M300" s="0" t="s">
        <v>46</v>
      </c>
      <c r="N300" s="0" t="s">
        <v>46</v>
      </c>
    </row>
    <row r="301" customFormat="false" ht="15" hidden="false" customHeight="false" outlineLevel="0" collapsed="false">
      <c r="A301" s="0" t="s">
        <v>4074</v>
      </c>
      <c r="B301" s="0" t="s">
        <v>915</v>
      </c>
      <c r="C301" s="0" t="s">
        <v>916</v>
      </c>
      <c r="D301" s="0" t="s">
        <v>917</v>
      </c>
      <c r="E301" s="0" t="s">
        <v>46</v>
      </c>
      <c r="F301" s="0" t="s">
        <v>46</v>
      </c>
      <c r="G301" s="0" t="s">
        <v>4075</v>
      </c>
      <c r="H301" s="0" t="s">
        <v>4076</v>
      </c>
      <c r="I301" s="0" t="s">
        <v>46</v>
      </c>
      <c r="J301" s="0" t="s">
        <v>46</v>
      </c>
      <c r="K301" s="0" t="s">
        <v>46</v>
      </c>
      <c r="L301" s="0" t="s">
        <v>46</v>
      </c>
      <c r="M301" s="0" t="s">
        <v>46</v>
      </c>
      <c r="N301" s="0" t="s">
        <v>46</v>
      </c>
    </row>
    <row r="302" customFormat="false" ht="15" hidden="false" customHeight="false" outlineLevel="0" collapsed="false">
      <c r="A302" s="0" t="s">
        <v>4077</v>
      </c>
      <c r="B302" s="0" t="s">
        <v>2906</v>
      </c>
      <c r="C302" s="0" t="s">
        <v>2907</v>
      </c>
      <c r="D302" s="0" t="s">
        <v>46</v>
      </c>
      <c r="E302" s="0" t="s">
        <v>46</v>
      </c>
      <c r="F302" s="0" t="s">
        <v>46</v>
      </c>
      <c r="G302" s="0" t="s">
        <v>4078</v>
      </c>
      <c r="H302" s="0" t="s">
        <v>4079</v>
      </c>
      <c r="I302" s="0" t="s">
        <v>46</v>
      </c>
      <c r="J302" s="0" t="s">
        <v>46</v>
      </c>
      <c r="K302" s="0" t="s">
        <v>46</v>
      </c>
      <c r="L302" s="0" t="s">
        <v>46</v>
      </c>
      <c r="M302" s="0" t="s">
        <v>46</v>
      </c>
      <c r="N302" s="0" t="s">
        <v>46</v>
      </c>
    </row>
    <row r="303" customFormat="false" ht="15" hidden="false" customHeight="false" outlineLevel="0" collapsed="false">
      <c r="A303" s="0" t="s">
        <v>4080</v>
      </c>
      <c r="B303" s="0" t="s">
        <v>343</v>
      </c>
      <c r="C303" s="0" t="s">
        <v>344</v>
      </c>
      <c r="D303" s="0" t="s">
        <v>345</v>
      </c>
      <c r="E303" s="0" t="s">
        <v>46</v>
      </c>
      <c r="F303" s="0" t="s">
        <v>4081</v>
      </c>
      <c r="G303" s="0" t="s">
        <v>4082</v>
      </c>
      <c r="H303" s="0" t="s">
        <v>4083</v>
      </c>
      <c r="I303" s="0" t="s">
        <v>46</v>
      </c>
      <c r="J303" s="0" t="s">
        <v>46</v>
      </c>
      <c r="K303" s="0" t="s">
        <v>46</v>
      </c>
      <c r="L303" s="0" t="s">
        <v>46</v>
      </c>
      <c r="M303" s="0" t="s">
        <v>46</v>
      </c>
      <c r="N303" s="0" t="s">
        <v>46</v>
      </c>
    </row>
    <row r="304" customFormat="false" ht="15" hidden="false" customHeight="false" outlineLevel="0" collapsed="false">
      <c r="A304" s="0" t="s">
        <v>4084</v>
      </c>
      <c r="B304" s="0" t="s">
        <v>444</v>
      </c>
      <c r="C304" s="0" t="s">
        <v>445</v>
      </c>
      <c r="D304" s="0" t="s">
        <v>446</v>
      </c>
      <c r="E304" s="0" t="s">
        <v>46</v>
      </c>
      <c r="F304" s="0" t="s">
        <v>4085</v>
      </c>
      <c r="G304" s="0" t="s">
        <v>4086</v>
      </c>
      <c r="H304" s="0" t="s">
        <v>4087</v>
      </c>
      <c r="I304" s="0" t="s">
        <v>46</v>
      </c>
      <c r="J304" s="0" t="s">
        <v>46</v>
      </c>
      <c r="K304" s="0" t="s">
        <v>46</v>
      </c>
      <c r="L304" s="0" t="s">
        <v>46</v>
      </c>
      <c r="M304" s="0" t="s">
        <v>46</v>
      </c>
      <c r="N304" s="0" t="s">
        <v>46</v>
      </c>
    </row>
    <row r="305" customFormat="false" ht="15" hidden="false" customHeight="false" outlineLevel="0" collapsed="false">
      <c r="A305" s="0" t="s">
        <v>4088</v>
      </c>
      <c r="B305" s="0" t="s">
        <v>284</v>
      </c>
      <c r="C305" s="0" t="s">
        <v>285</v>
      </c>
      <c r="D305" s="0" t="s">
        <v>286</v>
      </c>
      <c r="E305" s="0" t="s">
        <v>46</v>
      </c>
      <c r="F305" s="0" t="s">
        <v>46</v>
      </c>
      <c r="G305" s="0" t="s">
        <v>4089</v>
      </c>
      <c r="H305" s="0" t="s">
        <v>3865</v>
      </c>
      <c r="I305" s="0" t="s">
        <v>46</v>
      </c>
      <c r="J305" s="0" t="s">
        <v>46</v>
      </c>
      <c r="K305" s="0" t="s">
        <v>46</v>
      </c>
      <c r="L305" s="0" t="s">
        <v>46</v>
      </c>
      <c r="M305" s="0" t="s">
        <v>46</v>
      </c>
      <c r="N305" s="0" t="s">
        <v>46</v>
      </c>
    </row>
    <row r="306" customFormat="false" ht="15" hidden="false" customHeight="false" outlineLevel="0" collapsed="false">
      <c r="A306" s="0" t="s">
        <v>4090</v>
      </c>
      <c r="B306" s="0" t="s">
        <v>1845</v>
      </c>
      <c r="C306" s="0" t="s">
        <v>1846</v>
      </c>
      <c r="D306" s="0" t="s">
        <v>1847</v>
      </c>
      <c r="E306" s="0" t="s">
        <v>46</v>
      </c>
      <c r="F306" s="0" t="s">
        <v>4091</v>
      </c>
      <c r="G306" s="0" t="s">
        <v>4092</v>
      </c>
      <c r="H306" s="0" t="s">
        <v>4093</v>
      </c>
      <c r="I306" s="0" t="s">
        <v>46</v>
      </c>
      <c r="J306" s="0" t="s">
        <v>46</v>
      </c>
      <c r="K306" s="0" t="s">
        <v>46</v>
      </c>
      <c r="L306" s="0" t="s">
        <v>46</v>
      </c>
      <c r="M306" s="0" t="s">
        <v>46</v>
      </c>
      <c r="N306" s="0" t="s">
        <v>46</v>
      </c>
    </row>
    <row r="307" customFormat="false" ht="15" hidden="false" customHeight="false" outlineLevel="0" collapsed="false">
      <c r="A307" s="0" t="s">
        <v>4094</v>
      </c>
      <c r="B307" s="0" t="s">
        <v>267</v>
      </c>
      <c r="C307" s="0" t="s">
        <v>268</v>
      </c>
      <c r="D307" s="0" t="s">
        <v>269</v>
      </c>
      <c r="E307" s="0" t="s">
        <v>270</v>
      </c>
      <c r="F307" s="0" t="s">
        <v>46</v>
      </c>
      <c r="G307" s="0" t="s">
        <v>4095</v>
      </c>
      <c r="H307" s="0" t="s">
        <v>4096</v>
      </c>
      <c r="I307" s="0" t="s">
        <v>46</v>
      </c>
      <c r="J307" s="0" t="s">
        <v>46</v>
      </c>
      <c r="K307" s="0" t="s">
        <v>46</v>
      </c>
      <c r="L307" s="0" t="s">
        <v>46</v>
      </c>
      <c r="M307" s="0" t="s">
        <v>46</v>
      </c>
      <c r="N307" s="0" t="s">
        <v>46</v>
      </c>
    </row>
    <row r="308" customFormat="false" ht="15" hidden="false" customHeight="false" outlineLevel="0" collapsed="false">
      <c r="A308" s="0" t="s">
        <v>4097</v>
      </c>
      <c r="B308" s="0" t="s">
        <v>850</v>
      </c>
      <c r="C308" s="0" t="s">
        <v>851</v>
      </c>
      <c r="D308" s="0" t="s">
        <v>46</v>
      </c>
      <c r="E308" s="0" t="s">
        <v>46</v>
      </c>
      <c r="F308" s="0" t="s">
        <v>4098</v>
      </c>
      <c r="G308" s="0" t="s">
        <v>4099</v>
      </c>
      <c r="H308" s="0" t="s">
        <v>4100</v>
      </c>
      <c r="I308" s="0" t="s">
        <v>46</v>
      </c>
      <c r="J308" s="0" t="s">
        <v>46</v>
      </c>
      <c r="K308" s="0" t="s">
        <v>46</v>
      </c>
      <c r="L308" s="0" t="s">
        <v>46</v>
      </c>
      <c r="M308" s="0" t="s">
        <v>46</v>
      </c>
      <c r="N308" s="0" t="s">
        <v>46</v>
      </c>
    </row>
    <row r="309" customFormat="false" ht="15" hidden="false" customHeight="false" outlineLevel="0" collapsed="false">
      <c r="A309" s="0" t="s">
        <v>4101</v>
      </c>
      <c r="B309" s="0" t="s">
        <v>863</v>
      </c>
      <c r="C309" s="0" t="s">
        <v>864</v>
      </c>
      <c r="D309" s="0" t="s">
        <v>847</v>
      </c>
      <c r="E309" s="0" t="s">
        <v>46</v>
      </c>
      <c r="F309" s="0" t="s">
        <v>46</v>
      </c>
      <c r="G309" s="0" t="s">
        <v>46</v>
      </c>
      <c r="H309" s="0" t="s">
        <v>46</v>
      </c>
      <c r="I309" s="0" t="s">
        <v>46</v>
      </c>
      <c r="J309" s="0" t="s">
        <v>46</v>
      </c>
      <c r="K309" s="0" t="s">
        <v>46</v>
      </c>
      <c r="L309" s="0" t="s">
        <v>46</v>
      </c>
      <c r="M309" s="0" t="s">
        <v>46</v>
      </c>
      <c r="N309" s="0" t="s">
        <v>46</v>
      </c>
    </row>
    <row r="310" customFormat="false" ht="15" hidden="false" customHeight="false" outlineLevel="0" collapsed="false">
      <c r="A310" s="0" t="s">
        <v>4102</v>
      </c>
      <c r="B310" s="0" t="s">
        <v>845</v>
      </c>
      <c r="C310" s="0" t="s">
        <v>846</v>
      </c>
      <c r="D310" s="0" t="s">
        <v>847</v>
      </c>
      <c r="E310" s="0" t="s">
        <v>46</v>
      </c>
      <c r="F310" s="0" t="s">
        <v>46</v>
      </c>
      <c r="G310" s="0" t="s">
        <v>46</v>
      </c>
      <c r="H310" s="0" t="s">
        <v>46</v>
      </c>
      <c r="I310" s="0" t="s">
        <v>46</v>
      </c>
      <c r="J310" s="0" t="s">
        <v>46</v>
      </c>
      <c r="K310" s="0" t="s">
        <v>46</v>
      </c>
      <c r="L310" s="0" t="s">
        <v>46</v>
      </c>
      <c r="M310" s="0" t="s">
        <v>46</v>
      </c>
      <c r="N310" s="0" t="s">
        <v>46</v>
      </c>
    </row>
    <row r="311" customFormat="false" ht="15" hidden="false" customHeight="false" outlineLevel="0" collapsed="false">
      <c r="A311" s="0" t="s">
        <v>4103</v>
      </c>
      <c r="B311" s="0" t="s">
        <v>503</v>
      </c>
      <c r="C311" s="0" t="s">
        <v>504</v>
      </c>
      <c r="D311" s="0" t="s">
        <v>505</v>
      </c>
      <c r="E311" s="0" t="s">
        <v>46</v>
      </c>
      <c r="F311" s="0" t="s">
        <v>46</v>
      </c>
      <c r="G311" s="0" t="s">
        <v>46</v>
      </c>
      <c r="H311" s="0" t="s">
        <v>46</v>
      </c>
      <c r="I311" s="0" t="s">
        <v>46</v>
      </c>
      <c r="J311" s="0" t="s">
        <v>46</v>
      </c>
      <c r="K311" s="0" t="s">
        <v>46</v>
      </c>
      <c r="L311" s="0" t="s">
        <v>46</v>
      </c>
      <c r="M311" s="0" t="s">
        <v>46</v>
      </c>
      <c r="N311" s="0" t="s">
        <v>46</v>
      </c>
    </row>
    <row r="312" customFormat="false" ht="15" hidden="false" customHeight="false" outlineLevel="0" collapsed="false">
      <c r="A312" s="0" t="s">
        <v>4104</v>
      </c>
      <c r="B312" s="0" t="s">
        <v>1965</v>
      </c>
      <c r="C312" s="0" t="s">
        <v>1966</v>
      </c>
      <c r="D312" s="0" t="s">
        <v>1967</v>
      </c>
      <c r="E312" s="0" t="s">
        <v>46</v>
      </c>
      <c r="F312" s="0" t="s">
        <v>4105</v>
      </c>
      <c r="G312" s="0" t="s">
        <v>4106</v>
      </c>
      <c r="H312" s="0" t="s">
        <v>46</v>
      </c>
      <c r="I312" s="0" t="s">
        <v>46</v>
      </c>
      <c r="J312" s="0" t="s">
        <v>46</v>
      </c>
      <c r="K312" s="0" t="s">
        <v>46</v>
      </c>
      <c r="L312" s="0" t="s">
        <v>46</v>
      </c>
      <c r="M312" s="0" t="s">
        <v>46</v>
      </c>
      <c r="N312" s="0" t="s">
        <v>46</v>
      </c>
    </row>
    <row r="313" customFormat="false" ht="15" hidden="false" customHeight="false" outlineLevel="0" collapsed="false">
      <c r="A313" s="0" t="s">
        <v>4107</v>
      </c>
      <c r="B313" s="0" t="s">
        <v>933</v>
      </c>
      <c r="C313" s="0" t="s">
        <v>934</v>
      </c>
      <c r="D313" s="0" t="s">
        <v>46</v>
      </c>
      <c r="E313" s="0" t="s">
        <v>46</v>
      </c>
      <c r="F313" s="0" t="s">
        <v>46</v>
      </c>
      <c r="G313" s="0" t="s">
        <v>3740</v>
      </c>
      <c r="H313" s="0" t="s">
        <v>4108</v>
      </c>
      <c r="I313" s="0" t="s">
        <v>46</v>
      </c>
      <c r="J313" s="0" t="s">
        <v>46</v>
      </c>
      <c r="K313" s="0" t="s">
        <v>46</v>
      </c>
      <c r="L313" s="0" t="s">
        <v>46</v>
      </c>
      <c r="M313" s="0" t="s">
        <v>46</v>
      </c>
      <c r="N313" s="0" t="s">
        <v>46</v>
      </c>
    </row>
    <row r="314" customFormat="false" ht="15" hidden="false" customHeight="false" outlineLevel="0" collapsed="false">
      <c r="A314" s="0" t="s">
        <v>4109</v>
      </c>
      <c r="B314" s="0" t="s">
        <v>1079</v>
      </c>
      <c r="C314" s="0" t="s">
        <v>1080</v>
      </c>
      <c r="D314" s="0" t="s">
        <v>1081</v>
      </c>
      <c r="E314" s="0" t="s">
        <v>46</v>
      </c>
      <c r="F314" s="0" t="s">
        <v>4110</v>
      </c>
      <c r="G314" s="0" t="s">
        <v>4111</v>
      </c>
      <c r="H314" s="0" t="s">
        <v>4112</v>
      </c>
      <c r="I314" s="0" t="s">
        <v>46</v>
      </c>
      <c r="J314" s="0" t="s">
        <v>46</v>
      </c>
      <c r="K314" s="0" t="s">
        <v>46</v>
      </c>
      <c r="L314" s="0" t="s">
        <v>46</v>
      </c>
      <c r="M314" s="0" t="s">
        <v>46</v>
      </c>
      <c r="N314" s="0" t="s">
        <v>46</v>
      </c>
    </row>
    <row r="315" customFormat="false" ht="15" hidden="false" customHeight="false" outlineLevel="0" collapsed="false">
      <c r="A315" s="0" t="s">
        <v>4113</v>
      </c>
      <c r="B315" s="0" t="s">
        <v>489</v>
      </c>
      <c r="C315" s="0" t="s">
        <v>490</v>
      </c>
      <c r="D315" s="0" t="s">
        <v>491</v>
      </c>
      <c r="E315" s="0" t="s">
        <v>492</v>
      </c>
      <c r="F315" s="0" t="s">
        <v>4114</v>
      </c>
      <c r="G315" s="0" t="s">
        <v>4115</v>
      </c>
      <c r="H315" s="0" t="s">
        <v>4116</v>
      </c>
      <c r="I315" s="0" t="str">
        <f aca="false">HYPERLINK("https://omim.org/entry/180300", "180300")</f>
        <v>180300</v>
      </c>
      <c r="J315" s="0" t="s">
        <v>46</v>
      </c>
      <c r="K315" s="0" t="s">
        <v>46</v>
      </c>
      <c r="L315" s="0" t="s">
        <v>46</v>
      </c>
      <c r="M315" s="0" t="s">
        <v>46</v>
      </c>
      <c r="N315" s="0" t="s">
        <v>46</v>
      </c>
    </row>
    <row r="316" customFormat="false" ht="15" hidden="false" customHeight="false" outlineLevel="0" collapsed="false">
      <c r="A316" s="0" t="s">
        <v>4117</v>
      </c>
      <c r="B316" s="0" t="s">
        <v>208</v>
      </c>
      <c r="C316" s="0" t="s">
        <v>209</v>
      </c>
      <c r="D316" s="0" t="s">
        <v>210</v>
      </c>
      <c r="E316" s="0" t="s">
        <v>46</v>
      </c>
      <c r="F316" s="0" t="s">
        <v>4118</v>
      </c>
      <c r="G316" s="0" t="s">
        <v>4119</v>
      </c>
      <c r="H316" s="0" t="s">
        <v>4120</v>
      </c>
      <c r="I316" s="0" t="s">
        <v>46</v>
      </c>
      <c r="J316" s="0" t="s">
        <v>46</v>
      </c>
      <c r="K316" s="0" t="s">
        <v>46</v>
      </c>
      <c r="L316" s="0" t="s">
        <v>46</v>
      </c>
      <c r="M316" s="0" t="s">
        <v>46</v>
      </c>
      <c r="N316" s="0" t="s">
        <v>46</v>
      </c>
    </row>
    <row r="317" customFormat="false" ht="15" hidden="false" customHeight="false" outlineLevel="0" collapsed="false">
      <c r="A317" s="0" t="s">
        <v>4121</v>
      </c>
      <c r="B317" s="0" t="s">
        <v>921</v>
      </c>
      <c r="C317" s="0" t="s">
        <v>922</v>
      </c>
      <c r="D317" s="0" t="s">
        <v>46</v>
      </c>
      <c r="E317" s="0" t="s">
        <v>46</v>
      </c>
      <c r="F317" s="0" t="s">
        <v>46</v>
      </c>
      <c r="G317" s="0" t="s">
        <v>4122</v>
      </c>
      <c r="H317" s="0" t="s">
        <v>4123</v>
      </c>
      <c r="I317" s="0" t="s">
        <v>46</v>
      </c>
      <c r="J317" s="0" t="s">
        <v>46</v>
      </c>
      <c r="K317" s="0" t="s">
        <v>46</v>
      </c>
      <c r="L317" s="0" t="s">
        <v>46</v>
      </c>
      <c r="M317" s="0" t="s">
        <v>46</v>
      </c>
      <c r="N317" s="0" t="s">
        <v>46</v>
      </c>
    </row>
    <row r="318" customFormat="false" ht="15" hidden="false" customHeight="false" outlineLevel="0" collapsed="false">
      <c r="A318" s="0" t="s">
        <v>4124</v>
      </c>
      <c r="B318" s="0" t="s">
        <v>1652</v>
      </c>
      <c r="C318" s="0" t="s">
        <v>1653</v>
      </c>
      <c r="D318" s="0" t="s">
        <v>1654</v>
      </c>
      <c r="E318" s="0" t="s">
        <v>46</v>
      </c>
      <c r="F318" s="0" t="s">
        <v>4125</v>
      </c>
      <c r="G318" s="0" t="s">
        <v>4126</v>
      </c>
      <c r="H318" s="0" t="s">
        <v>46</v>
      </c>
      <c r="I318" s="0" t="s">
        <v>46</v>
      </c>
      <c r="J318" s="0" t="s">
        <v>46</v>
      </c>
      <c r="K318" s="0" t="s">
        <v>46</v>
      </c>
      <c r="L318" s="0" t="s">
        <v>46</v>
      </c>
      <c r="M318" s="0" t="s">
        <v>46</v>
      </c>
      <c r="N318" s="0" t="s">
        <v>46</v>
      </c>
    </row>
    <row r="319" customFormat="false" ht="15" hidden="false" customHeight="false" outlineLevel="0" collapsed="false">
      <c r="A319" s="0" t="s">
        <v>4127</v>
      </c>
      <c r="B319" s="0" t="s">
        <v>1988</v>
      </c>
      <c r="C319" s="0" t="s">
        <v>1989</v>
      </c>
      <c r="D319" s="0" t="s">
        <v>1990</v>
      </c>
      <c r="E319" s="0" t="s">
        <v>46</v>
      </c>
      <c r="F319" s="0" t="s">
        <v>4128</v>
      </c>
      <c r="G319" s="0" t="s">
        <v>46</v>
      </c>
      <c r="H319" s="0" t="s">
        <v>46</v>
      </c>
      <c r="I319" s="0" t="s">
        <v>46</v>
      </c>
      <c r="J319" s="0" t="s">
        <v>46</v>
      </c>
      <c r="K319" s="0" t="s">
        <v>46</v>
      </c>
      <c r="L319" s="0" t="s">
        <v>46</v>
      </c>
      <c r="M319" s="0" t="s">
        <v>46</v>
      </c>
      <c r="N319" s="0" t="s">
        <v>46</v>
      </c>
    </row>
    <row r="320" customFormat="false" ht="15" hidden="false" customHeight="false" outlineLevel="0" collapsed="false">
      <c r="A320" s="0" t="s">
        <v>4129</v>
      </c>
      <c r="B320" s="0" t="s">
        <v>2773</v>
      </c>
      <c r="C320" s="0" t="s">
        <v>2774</v>
      </c>
      <c r="D320" s="0" t="s">
        <v>2775</v>
      </c>
      <c r="E320" s="0" t="s">
        <v>2776</v>
      </c>
      <c r="F320" s="0" t="s">
        <v>4130</v>
      </c>
      <c r="G320" s="0" t="s">
        <v>4131</v>
      </c>
      <c r="H320" s="0" t="s">
        <v>4132</v>
      </c>
      <c r="I320" s="0" t="str">
        <f aca="false">HYPERLINK("https://omim.org/entry/218700", "218700")</f>
        <v>218700</v>
      </c>
      <c r="J320" s="0" t="s">
        <v>46</v>
      </c>
      <c r="K320" s="0" t="s">
        <v>46</v>
      </c>
      <c r="L320" s="0" t="s">
        <v>46</v>
      </c>
      <c r="M320" s="0" t="s">
        <v>46</v>
      </c>
      <c r="N320" s="0" t="s">
        <v>46</v>
      </c>
    </row>
    <row r="321" customFormat="false" ht="15" hidden="false" customHeight="false" outlineLevel="0" collapsed="false">
      <c r="A321" s="0" t="s">
        <v>4133</v>
      </c>
      <c r="B321" s="0" t="s">
        <v>46</v>
      </c>
      <c r="C321" s="0" t="s">
        <v>4134</v>
      </c>
      <c r="D321" s="0" t="s">
        <v>46</v>
      </c>
      <c r="E321" s="0" t="s">
        <v>46</v>
      </c>
      <c r="F321" s="0" t="s">
        <v>46</v>
      </c>
      <c r="G321" s="0" t="s">
        <v>46</v>
      </c>
      <c r="H321" s="0" t="s">
        <v>46</v>
      </c>
      <c r="I321" s="0" t="s">
        <v>46</v>
      </c>
      <c r="J321" s="0" t="s">
        <v>46</v>
      </c>
      <c r="K321" s="0" t="s">
        <v>46</v>
      </c>
      <c r="L321" s="0" t="s">
        <v>46</v>
      </c>
      <c r="M321" s="0" t="s">
        <v>46</v>
      </c>
      <c r="N321" s="0" t="s">
        <v>46</v>
      </c>
    </row>
    <row r="322" customFormat="false" ht="15" hidden="false" customHeight="false" outlineLevel="0" collapsed="false">
      <c r="A322" s="0" t="s">
        <v>4135</v>
      </c>
      <c r="B322" s="0" t="s">
        <v>1774</v>
      </c>
      <c r="C322" s="0" t="s">
        <v>1775</v>
      </c>
      <c r="D322" s="0" t="s">
        <v>1776</v>
      </c>
      <c r="E322" s="0" t="s">
        <v>46</v>
      </c>
      <c r="F322" s="0" t="s">
        <v>46</v>
      </c>
      <c r="G322" s="0" t="s">
        <v>4136</v>
      </c>
      <c r="H322" s="0" t="s">
        <v>4137</v>
      </c>
      <c r="I322" s="0" t="s">
        <v>46</v>
      </c>
      <c r="J322" s="0" t="s">
        <v>46</v>
      </c>
      <c r="K322" s="0" t="s">
        <v>46</v>
      </c>
      <c r="L322" s="0" t="s">
        <v>46</v>
      </c>
      <c r="M322" s="0" t="s">
        <v>46</v>
      </c>
      <c r="N322" s="0" t="s">
        <v>46</v>
      </c>
    </row>
    <row r="323" customFormat="false" ht="15" hidden="false" customHeight="false" outlineLevel="0" collapsed="false">
      <c r="A323" s="0" t="s">
        <v>4138</v>
      </c>
      <c r="B323" s="0" t="s">
        <v>1787</v>
      </c>
      <c r="C323" s="0" t="s">
        <v>1788</v>
      </c>
      <c r="D323" s="0" t="s">
        <v>1776</v>
      </c>
      <c r="E323" s="0" t="s">
        <v>46</v>
      </c>
      <c r="F323" s="0" t="s">
        <v>46</v>
      </c>
      <c r="G323" s="0" t="s">
        <v>46</v>
      </c>
      <c r="H323" s="0" t="s">
        <v>46</v>
      </c>
      <c r="I323" s="0" t="s">
        <v>46</v>
      </c>
      <c r="J323" s="0" t="s">
        <v>46</v>
      </c>
      <c r="K323" s="0" t="s">
        <v>46</v>
      </c>
      <c r="L323" s="0" t="s">
        <v>46</v>
      </c>
      <c r="M323" s="0" t="s">
        <v>46</v>
      </c>
      <c r="N323" s="0" t="s">
        <v>46</v>
      </c>
    </row>
    <row r="324" customFormat="false" ht="15" hidden="false" customHeight="false" outlineLevel="0" collapsed="false">
      <c r="A324" s="0" t="s">
        <v>4139</v>
      </c>
      <c r="B324" s="0" t="s">
        <v>1781</v>
      </c>
      <c r="C324" s="0" t="s">
        <v>1782</v>
      </c>
      <c r="D324" s="0" t="s">
        <v>1776</v>
      </c>
      <c r="E324" s="0" t="s">
        <v>46</v>
      </c>
      <c r="F324" s="0" t="s">
        <v>46</v>
      </c>
      <c r="G324" s="0" t="s">
        <v>46</v>
      </c>
      <c r="H324" s="0" t="s">
        <v>46</v>
      </c>
      <c r="I324" s="0" t="s">
        <v>46</v>
      </c>
      <c r="J324" s="0" t="s">
        <v>46</v>
      </c>
      <c r="K324" s="0" t="s">
        <v>46</v>
      </c>
      <c r="L324" s="0" t="s">
        <v>46</v>
      </c>
      <c r="M324" s="0" t="s">
        <v>46</v>
      </c>
      <c r="N324" s="0" t="s">
        <v>46</v>
      </c>
    </row>
    <row r="325" customFormat="false" ht="15" hidden="false" customHeight="false" outlineLevel="0" collapsed="false">
      <c r="A325" s="0" t="s">
        <v>4140</v>
      </c>
      <c r="B325" s="0" t="s">
        <v>1709</v>
      </c>
      <c r="C325" s="0" t="s">
        <v>1710</v>
      </c>
      <c r="D325" s="0" t="s">
        <v>1711</v>
      </c>
      <c r="E325" s="0" t="s">
        <v>46</v>
      </c>
      <c r="F325" s="0" t="s">
        <v>4141</v>
      </c>
      <c r="G325" s="0" t="s">
        <v>4142</v>
      </c>
      <c r="H325" s="0" t="s">
        <v>4143</v>
      </c>
      <c r="I325" s="0" t="s">
        <v>46</v>
      </c>
      <c r="J325" s="0" t="s">
        <v>46</v>
      </c>
      <c r="K325" s="0" t="s">
        <v>46</v>
      </c>
      <c r="L325" s="0" t="s">
        <v>46</v>
      </c>
      <c r="M325" s="0" t="s">
        <v>46</v>
      </c>
      <c r="N325" s="0" t="s">
        <v>46</v>
      </c>
    </row>
    <row r="326" customFormat="false" ht="15" hidden="false" customHeight="false" outlineLevel="0" collapsed="false">
      <c r="A326" s="0" t="s">
        <v>4144</v>
      </c>
      <c r="B326" s="0" t="s">
        <v>2976</v>
      </c>
      <c r="C326" s="0" t="s">
        <v>2977</v>
      </c>
      <c r="D326" s="0" t="s">
        <v>2978</v>
      </c>
      <c r="E326" s="0" t="s">
        <v>2979</v>
      </c>
      <c r="F326" s="0" t="s">
        <v>46</v>
      </c>
      <c r="G326" s="0" t="s">
        <v>4145</v>
      </c>
      <c r="H326" s="0" t="s">
        <v>4146</v>
      </c>
      <c r="I326" s="0" t="str">
        <f aca="false">HYPERLINK("https://omim.org/entry/600955", "600955")</f>
        <v>600955</v>
      </c>
      <c r="J326" s="0" t="s">
        <v>46</v>
      </c>
      <c r="K326" s="0" t="s">
        <v>46</v>
      </c>
      <c r="L326" s="0" t="s">
        <v>46</v>
      </c>
      <c r="M326" s="0" t="s">
        <v>46</v>
      </c>
      <c r="N326" s="0" t="s">
        <v>46</v>
      </c>
    </row>
    <row r="327" customFormat="false" ht="15" hidden="false" customHeight="false" outlineLevel="0" collapsed="false">
      <c r="A327" s="0" t="s">
        <v>4147</v>
      </c>
      <c r="B327" s="0" t="s">
        <v>1904</v>
      </c>
      <c r="C327" s="0" t="s">
        <v>1905</v>
      </c>
      <c r="D327" s="0" t="s">
        <v>1906</v>
      </c>
      <c r="E327" s="0" t="s">
        <v>46</v>
      </c>
      <c r="F327" s="0" t="s">
        <v>4148</v>
      </c>
      <c r="G327" s="0" t="s">
        <v>46</v>
      </c>
      <c r="H327" s="0" t="s">
        <v>46</v>
      </c>
      <c r="I327" s="0" t="s">
        <v>46</v>
      </c>
      <c r="J327" s="0" t="s">
        <v>46</v>
      </c>
      <c r="K327" s="0" t="s">
        <v>46</v>
      </c>
      <c r="L327" s="0" t="s">
        <v>46</v>
      </c>
      <c r="M327" s="0" t="s">
        <v>46</v>
      </c>
      <c r="N327" s="0" t="s">
        <v>46</v>
      </c>
    </row>
    <row r="328" customFormat="false" ht="15" hidden="false" customHeight="false" outlineLevel="0" collapsed="false">
      <c r="A328" s="0" t="s">
        <v>4149</v>
      </c>
      <c r="B328" s="0" t="s">
        <v>2019</v>
      </c>
      <c r="C328" s="0" t="s">
        <v>2020</v>
      </c>
      <c r="D328" s="0" t="s">
        <v>46</v>
      </c>
      <c r="E328" s="0" t="s">
        <v>2021</v>
      </c>
      <c r="F328" s="0" t="s">
        <v>46</v>
      </c>
      <c r="G328" s="0" t="s">
        <v>46</v>
      </c>
      <c r="H328" s="0" t="s">
        <v>46</v>
      </c>
      <c r="I328" s="0" t="str">
        <f aca="false">HYPERLINK("https://omim.org/entry/613093", "613093")</f>
        <v>613093</v>
      </c>
      <c r="J328" s="0" t="s">
        <v>46</v>
      </c>
      <c r="K328" s="0" t="s">
        <v>46</v>
      </c>
      <c r="L328" s="0" t="s">
        <v>46</v>
      </c>
      <c r="M328" s="0" t="s">
        <v>46</v>
      </c>
      <c r="N328" s="0" t="s">
        <v>46</v>
      </c>
    </row>
    <row r="329" customFormat="false" ht="15" hidden="false" customHeight="false" outlineLevel="0" collapsed="false">
      <c r="A329" s="0" t="s">
        <v>4150</v>
      </c>
      <c r="B329" s="0" t="s">
        <v>1513</v>
      </c>
      <c r="C329" s="0" t="s">
        <v>1514</v>
      </c>
      <c r="D329" s="0" t="s">
        <v>1515</v>
      </c>
      <c r="E329" s="0" t="s">
        <v>46</v>
      </c>
      <c r="F329" s="0" t="s">
        <v>46</v>
      </c>
      <c r="G329" s="0" t="s">
        <v>4151</v>
      </c>
      <c r="H329" s="0" t="s">
        <v>4152</v>
      </c>
      <c r="I329" s="0" t="s">
        <v>46</v>
      </c>
      <c r="J329" s="0" t="s">
        <v>46</v>
      </c>
      <c r="K329" s="0" t="s">
        <v>46</v>
      </c>
      <c r="L329" s="0" t="s">
        <v>46</v>
      </c>
      <c r="M329" s="0" t="s">
        <v>46</v>
      </c>
      <c r="N329" s="0" t="s">
        <v>46</v>
      </c>
    </row>
    <row r="330" customFormat="false" ht="15" hidden="false" customHeight="false" outlineLevel="0" collapsed="false">
      <c r="A330" s="0" t="s">
        <v>4153</v>
      </c>
      <c r="B330" s="0" t="s">
        <v>2228</v>
      </c>
      <c r="C330" s="0" t="s">
        <v>2229</v>
      </c>
      <c r="D330" s="0" t="s">
        <v>46</v>
      </c>
      <c r="E330" s="0" t="s">
        <v>2230</v>
      </c>
      <c r="F330" s="0" t="s">
        <v>46</v>
      </c>
      <c r="G330" s="0" t="s">
        <v>46</v>
      </c>
      <c r="H330" s="0" t="s">
        <v>46</v>
      </c>
      <c r="I330" s="0" t="str">
        <f aca="false">HYPERLINK("https://omim.org/entry/601815", "601815")</f>
        <v>601815</v>
      </c>
      <c r="J330" s="0" t="str">
        <f aca="false">HYPERLINK("https://omim.org/entry/256520", "256520")</f>
        <v>256520</v>
      </c>
      <c r="K330" s="0" t="s">
        <v>46</v>
      </c>
      <c r="L330" s="0" t="s">
        <v>46</v>
      </c>
      <c r="M330" s="0" t="s">
        <v>46</v>
      </c>
      <c r="N330" s="0" t="s">
        <v>46</v>
      </c>
    </row>
    <row r="331" customFormat="false" ht="15" hidden="false" customHeight="false" outlineLevel="0" collapsed="false">
      <c r="A331" s="0" t="s">
        <v>4154</v>
      </c>
      <c r="B331" s="0" t="s">
        <v>374</v>
      </c>
      <c r="C331" s="0" t="s">
        <v>375</v>
      </c>
      <c r="D331" s="0" t="s">
        <v>376</v>
      </c>
      <c r="E331" s="0" t="s">
        <v>377</v>
      </c>
      <c r="F331" s="0" t="s">
        <v>46</v>
      </c>
      <c r="G331" s="0" t="s">
        <v>4155</v>
      </c>
      <c r="H331" s="0" t="s">
        <v>4156</v>
      </c>
      <c r="I331" s="0" t="str">
        <f aca="false">HYPERLINK("https://omim.org/entry/261750", "261750")</f>
        <v>261750</v>
      </c>
      <c r="J331" s="0" t="s">
        <v>46</v>
      </c>
      <c r="K331" s="0" t="s">
        <v>46</v>
      </c>
      <c r="L331" s="0" t="s">
        <v>46</v>
      </c>
      <c r="M331" s="0" t="s">
        <v>46</v>
      </c>
      <c r="N331" s="0" t="s">
        <v>46</v>
      </c>
    </row>
    <row r="332" customFormat="false" ht="15" hidden="false" customHeight="false" outlineLevel="0" collapsed="false">
      <c r="A332" s="0" t="s">
        <v>4157</v>
      </c>
      <c r="B332" s="0" t="s">
        <v>2082</v>
      </c>
      <c r="C332" s="0" t="s">
        <v>2083</v>
      </c>
      <c r="D332" s="0" t="s">
        <v>2084</v>
      </c>
      <c r="E332" s="0" t="s">
        <v>46</v>
      </c>
      <c r="F332" s="0" t="s">
        <v>46</v>
      </c>
      <c r="G332" s="0" t="s">
        <v>4158</v>
      </c>
      <c r="H332" s="0" t="s">
        <v>4159</v>
      </c>
      <c r="I332" s="0" t="s">
        <v>46</v>
      </c>
      <c r="J332" s="0" t="s">
        <v>46</v>
      </c>
      <c r="K332" s="0" t="s">
        <v>46</v>
      </c>
      <c r="L332" s="0" t="s">
        <v>46</v>
      </c>
      <c r="M332" s="0" t="s">
        <v>46</v>
      </c>
      <c r="N332" s="0" t="s">
        <v>46</v>
      </c>
    </row>
    <row r="333" customFormat="false" ht="15" hidden="false" customHeight="false" outlineLevel="0" collapsed="false">
      <c r="A333" s="0" t="s">
        <v>4160</v>
      </c>
      <c r="B333" s="0" t="s">
        <v>2703</v>
      </c>
      <c r="C333" s="0" t="s">
        <v>2704</v>
      </c>
      <c r="D333" s="0" t="s">
        <v>2705</v>
      </c>
      <c r="E333" s="0" t="s">
        <v>2706</v>
      </c>
      <c r="F333" s="0" t="s">
        <v>46</v>
      </c>
      <c r="G333" s="0" t="s">
        <v>4161</v>
      </c>
      <c r="H333" s="0" t="s">
        <v>4162</v>
      </c>
      <c r="I333" s="0" t="str">
        <f aca="false">HYPERLINK("https://omim.org/entry/603387", "603387")</f>
        <v>603387</v>
      </c>
      <c r="J333" s="0" t="s">
        <v>46</v>
      </c>
      <c r="K333" s="0" t="s">
        <v>46</v>
      </c>
      <c r="L333" s="0" t="s">
        <v>46</v>
      </c>
      <c r="M333" s="0" t="s">
        <v>46</v>
      </c>
      <c r="N333" s="0" t="s">
        <v>46</v>
      </c>
    </row>
    <row r="334" customFormat="false" ht="15" hidden="false" customHeight="false" outlineLevel="0" collapsed="false">
      <c r="A334" s="0" t="s">
        <v>4163</v>
      </c>
      <c r="B334" s="0" t="s">
        <v>2590</v>
      </c>
      <c r="C334" s="0" t="s">
        <v>2591</v>
      </c>
      <c r="D334" s="0" t="s">
        <v>2592</v>
      </c>
      <c r="E334" s="0" t="s">
        <v>2593</v>
      </c>
      <c r="F334" s="0" t="s">
        <v>4164</v>
      </c>
      <c r="G334" s="0" t="s">
        <v>4165</v>
      </c>
      <c r="H334" s="0" t="s">
        <v>4166</v>
      </c>
      <c r="I334" s="0" t="str">
        <f aca="false">HYPERLINK("https://omim.org/entry/615217", "615217")</f>
        <v>615217</v>
      </c>
      <c r="J334" s="0" t="s">
        <v>46</v>
      </c>
      <c r="K334" s="0" t="s">
        <v>46</v>
      </c>
      <c r="L334" s="0" t="s">
        <v>46</v>
      </c>
      <c r="M334" s="0" t="s">
        <v>46</v>
      </c>
      <c r="N334" s="0" t="s">
        <v>46</v>
      </c>
    </row>
    <row r="335" customFormat="false" ht="15" hidden="false" customHeight="false" outlineLevel="0" collapsed="false">
      <c r="A335" s="0" t="s">
        <v>4167</v>
      </c>
      <c r="B335" s="0" t="s">
        <v>2526</v>
      </c>
      <c r="C335" s="0" t="s">
        <v>2527</v>
      </c>
      <c r="D335" s="0" t="s">
        <v>2528</v>
      </c>
      <c r="E335" s="0" t="s">
        <v>2529</v>
      </c>
      <c r="F335" s="0" t="s">
        <v>46</v>
      </c>
      <c r="G335" s="0" t="s">
        <v>4168</v>
      </c>
      <c r="H335" s="0" t="s">
        <v>4169</v>
      </c>
      <c r="I335" s="0" t="str">
        <f aca="false">HYPERLINK("https://omim.org/entry/173900", "173900")</f>
        <v>173900</v>
      </c>
      <c r="J335" s="0" t="s">
        <v>46</v>
      </c>
      <c r="K335" s="0" t="s">
        <v>46</v>
      </c>
      <c r="L335" s="0" t="s">
        <v>46</v>
      </c>
      <c r="M335" s="0" t="s">
        <v>46</v>
      </c>
      <c r="N335" s="0" t="s">
        <v>46</v>
      </c>
    </row>
    <row r="336" customFormat="false" ht="15" hidden="false" customHeight="false" outlineLevel="0" collapsed="false">
      <c r="A336" s="0" t="s">
        <v>4170</v>
      </c>
      <c r="B336" s="0" t="s">
        <v>65</v>
      </c>
      <c r="C336" s="0" t="s">
        <v>66</v>
      </c>
      <c r="D336" s="0" t="s">
        <v>67</v>
      </c>
      <c r="E336" s="0" t="s">
        <v>68</v>
      </c>
      <c r="F336" s="0" t="s">
        <v>46</v>
      </c>
      <c r="G336" s="0" t="s">
        <v>4171</v>
      </c>
      <c r="H336" s="0" t="s">
        <v>4172</v>
      </c>
      <c r="I336" s="0" t="str">
        <f aca="false">HYPERLINK("https://omim.org/entry/102900", "102900")</f>
        <v>102900</v>
      </c>
      <c r="J336" s="0" t="str">
        <f aca="false">HYPERLINK("https://omim.org/entry/266200", "266200")</f>
        <v>266200</v>
      </c>
      <c r="K336" s="0" t="s">
        <v>46</v>
      </c>
      <c r="L336" s="0" t="s">
        <v>46</v>
      </c>
      <c r="M336" s="0" t="s">
        <v>46</v>
      </c>
      <c r="N336" s="0" t="s">
        <v>46</v>
      </c>
    </row>
    <row r="337" customFormat="false" ht="15" hidden="false" customHeight="false" outlineLevel="0" collapsed="false">
      <c r="A337" s="0" t="s">
        <v>4173</v>
      </c>
      <c r="B337" s="0" t="s">
        <v>838</v>
      </c>
      <c r="C337" s="0" t="s">
        <v>839</v>
      </c>
      <c r="D337" s="0" t="s">
        <v>840</v>
      </c>
      <c r="E337" s="0" t="s">
        <v>46</v>
      </c>
      <c r="F337" s="0" t="s">
        <v>4174</v>
      </c>
      <c r="G337" s="0" t="s">
        <v>4175</v>
      </c>
      <c r="H337" s="0" t="s">
        <v>4176</v>
      </c>
      <c r="I337" s="0" t="s">
        <v>46</v>
      </c>
      <c r="J337" s="0" t="s">
        <v>46</v>
      </c>
      <c r="K337" s="0" t="s">
        <v>46</v>
      </c>
      <c r="L337" s="0" t="s">
        <v>46</v>
      </c>
      <c r="M337" s="0" t="s">
        <v>46</v>
      </c>
      <c r="N337" s="0" t="s">
        <v>46</v>
      </c>
    </row>
    <row r="338" customFormat="false" ht="15" hidden="false" customHeight="false" outlineLevel="0" collapsed="false">
      <c r="A338" s="0" t="s">
        <v>4177</v>
      </c>
      <c r="B338" s="0" t="s">
        <v>2561</v>
      </c>
      <c r="C338" s="0" t="s">
        <v>2562</v>
      </c>
      <c r="D338" s="0" t="s">
        <v>2563</v>
      </c>
      <c r="E338" s="0" t="s">
        <v>2564</v>
      </c>
      <c r="F338" s="0" t="s">
        <v>46</v>
      </c>
      <c r="G338" s="0" t="s">
        <v>4178</v>
      </c>
      <c r="H338" s="0" t="s">
        <v>3244</v>
      </c>
      <c r="I338" s="0" t="str">
        <f aca="false">HYPERLINK("https://omim.org/entry/614468", "614468")</f>
        <v>614468</v>
      </c>
      <c r="J338" s="0" t="str">
        <f aca="false">HYPERLINK("https://omim.org/entry/614878", "614878")</f>
        <v>614878</v>
      </c>
      <c r="K338" s="0" t="s">
        <v>46</v>
      </c>
      <c r="L338" s="0" t="s">
        <v>46</v>
      </c>
      <c r="M338" s="0" t="s">
        <v>46</v>
      </c>
      <c r="N338" s="0" t="s">
        <v>46</v>
      </c>
    </row>
    <row r="339" customFormat="false" ht="15" hidden="false" customHeight="false" outlineLevel="0" collapsed="false">
      <c r="A339" s="0" t="s">
        <v>4179</v>
      </c>
      <c r="B339" s="0" t="s">
        <v>927</v>
      </c>
      <c r="C339" s="0" t="s">
        <v>928</v>
      </c>
      <c r="D339" s="0" t="s">
        <v>929</v>
      </c>
      <c r="E339" s="0" t="s">
        <v>46</v>
      </c>
      <c r="F339" s="0" t="s">
        <v>4180</v>
      </c>
      <c r="G339" s="0" t="s">
        <v>4181</v>
      </c>
      <c r="H339" s="0" t="s">
        <v>3843</v>
      </c>
      <c r="I339" s="0" t="s">
        <v>46</v>
      </c>
      <c r="J339" s="0" t="s">
        <v>46</v>
      </c>
      <c r="K339" s="0" t="s">
        <v>46</v>
      </c>
      <c r="L339" s="0" t="s">
        <v>46</v>
      </c>
      <c r="M339" s="0" t="s">
        <v>46</v>
      </c>
      <c r="N339" s="0" t="s">
        <v>46</v>
      </c>
    </row>
    <row r="340" customFormat="false" ht="15" hidden="false" customHeight="false" outlineLevel="0" collapsed="false">
      <c r="A340" s="0" t="s">
        <v>4182</v>
      </c>
      <c r="B340" s="0" t="s">
        <v>1704</v>
      </c>
      <c r="C340" s="0" t="s">
        <v>1705</v>
      </c>
      <c r="D340" s="0" t="s">
        <v>1706</v>
      </c>
      <c r="E340" s="0" t="s">
        <v>46</v>
      </c>
      <c r="F340" s="0" t="s">
        <v>4183</v>
      </c>
      <c r="G340" s="0" t="s">
        <v>4184</v>
      </c>
      <c r="H340" s="0" t="s">
        <v>4185</v>
      </c>
      <c r="I340" s="0" t="s">
        <v>46</v>
      </c>
      <c r="J340" s="0" t="s">
        <v>46</v>
      </c>
      <c r="K340" s="0" t="s">
        <v>46</v>
      </c>
      <c r="L340" s="0" t="s">
        <v>46</v>
      </c>
      <c r="M340" s="0" t="s">
        <v>46</v>
      </c>
      <c r="N340" s="0" t="s">
        <v>46</v>
      </c>
    </row>
    <row r="341" customFormat="false" ht="15" hidden="false" customHeight="false" outlineLevel="0" collapsed="false">
      <c r="A341" s="0" t="s">
        <v>4186</v>
      </c>
      <c r="B341" s="0" t="s">
        <v>3177</v>
      </c>
      <c r="C341" s="0" t="s">
        <v>3178</v>
      </c>
      <c r="D341" s="0" t="s">
        <v>3179</v>
      </c>
      <c r="E341" s="0" t="s">
        <v>46</v>
      </c>
      <c r="F341" s="0" t="s">
        <v>46</v>
      </c>
      <c r="G341" s="0" t="s">
        <v>46</v>
      </c>
      <c r="H341" s="0" t="s">
        <v>46</v>
      </c>
      <c r="I341" s="0" t="s">
        <v>46</v>
      </c>
      <c r="J341" s="0" t="s">
        <v>46</v>
      </c>
      <c r="K341" s="0" t="s">
        <v>46</v>
      </c>
      <c r="L341" s="0" t="s">
        <v>46</v>
      </c>
      <c r="M341" s="0" t="s">
        <v>46</v>
      </c>
      <c r="N341" s="0" t="s">
        <v>46</v>
      </c>
    </row>
    <row r="342" customFormat="false" ht="15" hidden="false" customHeight="false" outlineLevel="0" collapsed="false">
      <c r="A342" s="0" t="s">
        <v>4187</v>
      </c>
      <c r="B342" s="0" t="s">
        <v>641</v>
      </c>
      <c r="C342" s="0" t="s">
        <v>642</v>
      </c>
      <c r="D342" s="0" t="s">
        <v>46</v>
      </c>
      <c r="E342" s="0" t="s">
        <v>46</v>
      </c>
      <c r="F342" s="0" t="s">
        <v>46</v>
      </c>
      <c r="G342" s="0" t="s">
        <v>46</v>
      </c>
      <c r="H342" s="0" t="s">
        <v>46</v>
      </c>
      <c r="I342" s="0" t="s">
        <v>46</v>
      </c>
      <c r="J342" s="0" t="s">
        <v>46</v>
      </c>
      <c r="K342" s="0" t="s">
        <v>46</v>
      </c>
      <c r="L342" s="0" t="s">
        <v>46</v>
      </c>
      <c r="M342" s="0" t="s">
        <v>46</v>
      </c>
      <c r="N342" s="0" t="s">
        <v>46</v>
      </c>
    </row>
    <row r="343" customFormat="false" ht="15" hidden="false" customHeight="false" outlineLevel="0" collapsed="false">
      <c r="A343" s="0" t="s">
        <v>4188</v>
      </c>
      <c r="B343" s="0" t="s">
        <v>241</v>
      </c>
      <c r="C343" s="0" t="s">
        <v>242</v>
      </c>
      <c r="D343" s="0" t="s">
        <v>243</v>
      </c>
      <c r="E343" s="0" t="s">
        <v>244</v>
      </c>
      <c r="F343" s="0" t="s">
        <v>46</v>
      </c>
      <c r="G343" s="0" t="s">
        <v>4189</v>
      </c>
      <c r="H343" s="0" t="s">
        <v>4190</v>
      </c>
      <c r="I343" s="0" t="str">
        <f aca="false">HYPERLINK("https://omim.org/entry/615083", "615083")</f>
        <v>615083</v>
      </c>
      <c r="J343" s="0" t="str">
        <f aca="false">HYPERLINK("https://omim.org/entry/615139", "615139")</f>
        <v>615139</v>
      </c>
      <c r="K343" s="0" t="s">
        <v>46</v>
      </c>
      <c r="L343" s="0" t="s">
        <v>46</v>
      </c>
      <c r="M343" s="0" t="s">
        <v>46</v>
      </c>
      <c r="N343" s="0" t="s">
        <v>46</v>
      </c>
    </row>
    <row r="344" customFormat="false" ht="15" hidden="false" customHeight="false" outlineLevel="0" collapsed="false">
      <c r="A344" s="0" t="s">
        <v>4191</v>
      </c>
      <c r="B344" s="0" t="s">
        <v>2960</v>
      </c>
      <c r="C344" s="0" t="s">
        <v>2961</v>
      </c>
      <c r="D344" s="0" t="s">
        <v>2962</v>
      </c>
      <c r="E344" s="0" t="s">
        <v>46</v>
      </c>
      <c r="F344" s="0" t="s">
        <v>3463</v>
      </c>
      <c r="G344" s="0" t="s">
        <v>4192</v>
      </c>
      <c r="H344" s="0" t="s">
        <v>4193</v>
      </c>
      <c r="I344" s="0" t="s">
        <v>46</v>
      </c>
      <c r="J344" s="0" t="s">
        <v>46</v>
      </c>
      <c r="K344" s="0" t="s">
        <v>46</v>
      </c>
      <c r="L344" s="0" t="s">
        <v>46</v>
      </c>
      <c r="M344" s="0" t="s">
        <v>46</v>
      </c>
      <c r="N344" s="0" t="s">
        <v>46</v>
      </c>
    </row>
    <row r="345" customFormat="false" ht="15" hidden="false" customHeight="false" outlineLevel="0" collapsed="false">
      <c r="A345" s="0" t="s">
        <v>4194</v>
      </c>
      <c r="B345" s="0" t="s">
        <v>2094</v>
      </c>
      <c r="C345" s="0" t="s">
        <v>2095</v>
      </c>
      <c r="D345" s="0" t="s">
        <v>2096</v>
      </c>
      <c r="E345" s="0" t="s">
        <v>46</v>
      </c>
      <c r="F345" s="0" t="s">
        <v>46</v>
      </c>
      <c r="G345" s="0" t="s">
        <v>4195</v>
      </c>
      <c r="H345" s="0" t="s">
        <v>46</v>
      </c>
      <c r="I345" s="0" t="s">
        <v>46</v>
      </c>
      <c r="J345" s="0" t="s">
        <v>46</v>
      </c>
      <c r="K345" s="0" t="s">
        <v>46</v>
      </c>
      <c r="L345" s="0" t="s">
        <v>46</v>
      </c>
      <c r="M345" s="0" t="s">
        <v>46</v>
      </c>
      <c r="N345" s="0" t="s">
        <v>46</v>
      </c>
    </row>
    <row r="346" customFormat="false" ht="15" hidden="false" customHeight="false" outlineLevel="0" collapsed="false">
      <c r="A346" s="0" t="s">
        <v>4196</v>
      </c>
      <c r="B346" s="0" t="s">
        <v>2106</v>
      </c>
      <c r="C346" s="0" t="s">
        <v>2107</v>
      </c>
      <c r="D346" s="0" t="s">
        <v>2108</v>
      </c>
      <c r="E346" s="0" t="s">
        <v>46</v>
      </c>
      <c r="F346" s="0" t="s">
        <v>4197</v>
      </c>
      <c r="G346" s="0" t="s">
        <v>4198</v>
      </c>
      <c r="H346" s="0" t="s">
        <v>4199</v>
      </c>
      <c r="I346" s="0" t="s">
        <v>46</v>
      </c>
      <c r="J346" s="0" t="s">
        <v>46</v>
      </c>
      <c r="K346" s="0" t="s">
        <v>46</v>
      </c>
      <c r="L346" s="0" t="s">
        <v>46</v>
      </c>
      <c r="M346" s="0" t="s">
        <v>46</v>
      </c>
      <c r="N346" s="0" t="s">
        <v>46</v>
      </c>
    </row>
    <row r="347" customFormat="false" ht="15" hidden="false" customHeight="false" outlineLevel="0" collapsed="false">
      <c r="A347" s="0" t="s">
        <v>4200</v>
      </c>
      <c r="B347" s="0" t="s">
        <v>1549</v>
      </c>
      <c r="C347" s="0" t="s">
        <v>1550</v>
      </c>
      <c r="D347" s="0" t="s">
        <v>1551</v>
      </c>
      <c r="E347" s="0" t="s">
        <v>46</v>
      </c>
      <c r="F347" s="0" t="s">
        <v>4201</v>
      </c>
      <c r="G347" s="0" t="s">
        <v>4202</v>
      </c>
      <c r="H347" s="0" t="s">
        <v>4203</v>
      </c>
      <c r="I347" s="0" t="s">
        <v>46</v>
      </c>
      <c r="J347" s="0" t="s">
        <v>46</v>
      </c>
      <c r="K347" s="0" t="s">
        <v>46</v>
      </c>
      <c r="L347" s="0" t="s">
        <v>46</v>
      </c>
      <c r="M347" s="0" t="s">
        <v>46</v>
      </c>
      <c r="N347" s="0" t="s">
        <v>46</v>
      </c>
    </row>
    <row r="348" customFormat="false" ht="15" hidden="false" customHeight="false" outlineLevel="0" collapsed="false">
      <c r="A348" s="0" t="s">
        <v>4204</v>
      </c>
      <c r="B348" s="0" t="s">
        <v>1797</v>
      </c>
      <c r="C348" s="0" t="s">
        <v>1798</v>
      </c>
      <c r="D348" s="0" t="s">
        <v>1799</v>
      </c>
      <c r="E348" s="0" t="s">
        <v>1800</v>
      </c>
      <c r="F348" s="0" t="s">
        <v>4205</v>
      </c>
      <c r="G348" s="0" t="s">
        <v>4206</v>
      </c>
      <c r="H348" s="0" t="s">
        <v>4207</v>
      </c>
      <c r="I348" s="0" t="str">
        <f aca="false">HYPERLINK("https://omim.org/entry/604326", "604326")</f>
        <v>604326</v>
      </c>
      <c r="J348" s="0" t="s">
        <v>46</v>
      </c>
      <c r="K348" s="0" t="s">
        <v>46</v>
      </c>
      <c r="L348" s="0" t="s">
        <v>46</v>
      </c>
      <c r="M348" s="0" t="s">
        <v>46</v>
      </c>
      <c r="N348" s="0" t="s">
        <v>46</v>
      </c>
    </row>
    <row r="349" customFormat="false" ht="15" hidden="false" customHeight="false" outlineLevel="0" collapsed="false">
      <c r="A349" s="0" t="s">
        <v>4208</v>
      </c>
      <c r="B349" s="0" t="s">
        <v>2060</v>
      </c>
      <c r="C349" s="0" t="s">
        <v>2061</v>
      </c>
      <c r="D349" s="0" t="s">
        <v>46</v>
      </c>
      <c r="E349" s="0" t="s">
        <v>46</v>
      </c>
      <c r="F349" s="0" t="s">
        <v>46</v>
      </c>
      <c r="G349" s="0" t="s">
        <v>3415</v>
      </c>
      <c r="H349" s="0" t="s">
        <v>46</v>
      </c>
      <c r="I349" s="0" t="s">
        <v>46</v>
      </c>
      <c r="J349" s="0" t="s">
        <v>46</v>
      </c>
      <c r="K349" s="0" t="s">
        <v>46</v>
      </c>
      <c r="L349" s="0" t="s">
        <v>46</v>
      </c>
      <c r="M349" s="0" t="s">
        <v>46</v>
      </c>
      <c r="N349" s="0" t="s">
        <v>46</v>
      </c>
    </row>
    <row r="350" customFormat="false" ht="15" hidden="false" customHeight="false" outlineLevel="0" collapsed="false">
      <c r="A350" s="0" t="s">
        <v>4209</v>
      </c>
      <c r="B350" s="0" t="s">
        <v>2256</v>
      </c>
      <c r="C350" s="0" t="s">
        <v>2257</v>
      </c>
      <c r="D350" s="0" t="s">
        <v>46</v>
      </c>
      <c r="E350" s="0" t="s">
        <v>46</v>
      </c>
      <c r="F350" s="0" t="s">
        <v>46</v>
      </c>
      <c r="G350" s="0" t="s">
        <v>4210</v>
      </c>
      <c r="H350" s="0" t="s">
        <v>46</v>
      </c>
      <c r="I350" s="0" t="s">
        <v>46</v>
      </c>
      <c r="J350" s="0" t="s">
        <v>46</v>
      </c>
      <c r="K350" s="0" t="s">
        <v>46</v>
      </c>
      <c r="L350" s="0" t="s">
        <v>46</v>
      </c>
      <c r="M350" s="0" t="s">
        <v>46</v>
      </c>
      <c r="N350" s="0" t="s">
        <v>46</v>
      </c>
    </row>
    <row r="351" customFormat="false" ht="15" hidden="false" customHeight="false" outlineLevel="0" collapsed="false">
      <c r="A351" s="0" t="s">
        <v>4211</v>
      </c>
      <c r="B351" s="0" t="s">
        <v>1916</v>
      </c>
      <c r="C351" s="0" t="s">
        <v>1917</v>
      </c>
      <c r="D351" s="0" t="s">
        <v>1918</v>
      </c>
      <c r="E351" s="0" t="s">
        <v>46</v>
      </c>
      <c r="F351" s="0" t="s">
        <v>4212</v>
      </c>
      <c r="G351" s="0" t="s">
        <v>46</v>
      </c>
      <c r="H351" s="0" t="s">
        <v>46</v>
      </c>
      <c r="I351" s="0" t="s">
        <v>46</v>
      </c>
      <c r="J351" s="0" t="s">
        <v>46</v>
      </c>
      <c r="K351" s="0" t="s">
        <v>46</v>
      </c>
      <c r="L351" s="0" t="s">
        <v>46</v>
      </c>
      <c r="M351" s="0" t="s">
        <v>46</v>
      </c>
      <c r="N351" s="0" t="s">
        <v>46</v>
      </c>
    </row>
    <row r="352" customFormat="false" ht="15" hidden="false" customHeight="false" outlineLevel="0" collapsed="false">
      <c r="A352" s="0" t="s">
        <v>4213</v>
      </c>
      <c r="B352" s="0" t="s">
        <v>1540</v>
      </c>
      <c r="C352" s="0" t="s">
        <v>1541</v>
      </c>
      <c r="D352" s="0" t="s">
        <v>1542</v>
      </c>
      <c r="E352" s="0" t="s">
        <v>46</v>
      </c>
      <c r="F352" s="0" t="s">
        <v>4214</v>
      </c>
      <c r="G352" s="0" t="s">
        <v>4215</v>
      </c>
      <c r="H352" s="0" t="s">
        <v>4216</v>
      </c>
      <c r="I352" s="0" t="s">
        <v>46</v>
      </c>
      <c r="J352" s="0" t="s">
        <v>46</v>
      </c>
      <c r="K352" s="0" t="s">
        <v>46</v>
      </c>
      <c r="L352" s="0" t="s">
        <v>46</v>
      </c>
      <c r="M352" s="0" t="s">
        <v>46</v>
      </c>
      <c r="N352" s="0" t="s">
        <v>46</v>
      </c>
    </row>
    <row r="353" customFormat="false" ht="15" hidden="false" customHeight="false" outlineLevel="0" collapsed="false">
      <c r="A353" s="0" t="s">
        <v>4217</v>
      </c>
      <c r="B353" s="0" t="s">
        <v>3077</v>
      </c>
      <c r="C353" s="0" t="s">
        <v>3078</v>
      </c>
      <c r="D353" s="0" t="s">
        <v>3079</v>
      </c>
      <c r="E353" s="0" t="s">
        <v>3080</v>
      </c>
      <c r="F353" s="0" t="s">
        <v>46</v>
      </c>
      <c r="G353" s="0" t="s">
        <v>4218</v>
      </c>
      <c r="H353" s="0" t="s">
        <v>4219</v>
      </c>
      <c r="I353" s="0" t="str">
        <f aca="false">HYPERLINK("https://omim.org/entry/167800", "167800")</f>
        <v>167800</v>
      </c>
      <c r="J353" s="0" t="s">
        <v>46</v>
      </c>
      <c r="K353" s="0" t="s">
        <v>46</v>
      </c>
      <c r="L353" s="0" t="s">
        <v>46</v>
      </c>
      <c r="M353" s="0" t="s">
        <v>46</v>
      </c>
      <c r="N353" s="0" t="s">
        <v>46</v>
      </c>
    </row>
    <row r="354" customFormat="false" ht="15" hidden="false" customHeight="false" outlineLevel="0" collapsed="false">
      <c r="A354" s="0" t="s">
        <v>4220</v>
      </c>
      <c r="B354" s="0" t="s">
        <v>1383</v>
      </c>
      <c r="C354" s="0" t="s">
        <v>1384</v>
      </c>
      <c r="D354" s="0" t="s">
        <v>1385</v>
      </c>
      <c r="E354" s="0" t="s">
        <v>46</v>
      </c>
      <c r="F354" s="0" t="s">
        <v>4221</v>
      </c>
      <c r="G354" s="0" t="s">
        <v>4222</v>
      </c>
      <c r="H354" s="0" t="s">
        <v>4223</v>
      </c>
      <c r="I354" s="0" t="s">
        <v>46</v>
      </c>
      <c r="J354" s="0" t="s">
        <v>46</v>
      </c>
      <c r="K354" s="0" t="s">
        <v>46</v>
      </c>
      <c r="L354" s="0" t="s">
        <v>46</v>
      </c>
      <c r="M354" s="0" t="s">
        <v>46</v>
      </c>
      <c r="N354" s="0" t="s">
        <v>46</v>
      </c>
    </row>
    <row r="355" customFormat="false" ht="15" hidden="false" customHeight="false" outlineLevel="0" collapsed="false">
      <c r="A355" s="0" t="s">
        <v>4224</v>
      </c>
      <c r="B355" s="0" t="s">
        <v>1003</v>
      </c>
      <c r="C355" s="0" t="s">
        <v>1004</v>
      </c>
      <c r="D355" s="0" t="s">
        <v>1005</v>
      </c>
      <c r="E355" s="0" t="s">
        <v>46</v>
      </c>
      <c r="F355" s="0" t="s">
        <v>46</v>
      </c>
      <c r="G355" s="0" t="s">
        <v>4225</v>
      </c>
      <c r="H355" s="0" t="s">
        <v>4226</v>
      </c>
      <c r="I355" s="0" t="s">
        <v>46</v>
      </c>
      <c r="J355" s="0" t="s">
        <v>46</v>
      </c>
      <c r="K355" s="0" t="s">
        <v>46</v>
      </c>
      <c r="L355" s="0" t="s">
        <v>46</v>
      </c>
      <c r="M355" s="0" t="s">
        <v>46</v>
      </c>
      <c r="N355" s="0" t="s">
        <v>46</v>
      </c>
    </row>
    <row r="356" customFormat="false" ht="15" hidden="false" customHeight="false" outlineLevel="0" collapsed="false">
      <c r="A356" s="0" t="s">
        <v>4227</v>
      </c>
      <c r="B356" s="0" t="s">
        <v>1667</v>
      </c>
      <c r="C356" s="0" t="s">
        <v>1668</v>
      </c>
      <c r="D356" s="0" t="s">
        <v>1669</v>
      </c>
      <c r="E356" s="0" t="s">
        <v>46</v>
      </c>
      <c r="F356" s="0" t="s">
        <v>4228</v>
      </c>
      <c r="G356" s="0" t="s">
        <v>4229</v>
      </c>
      <c r="H356" s="0" t="s">
        <v>4230</v>
      </c>
      <c r="I356" s="0" t="s">
        <v>46</v>
      </c>
      <c r="J356" s="0" t="s">
        <v>46</v>
      </c>
      <c r="K356" s="0" t="s">
        <v>46</v>
      </c>
      <c r="L356" s="0" t="s">
        <v>46</v>
      </c>
      <c r="M356" s="0" t="s">
        <v>46</v>
      </c>
      <c r="N356" s="0" t="s">
        <v>46</v>
      </c>
    </row>
    <row r="357" customFormat="false" ht="15" hidden="false" customHeight="false" outlineLevel="0" collapsed="false">
      <c r="A357" s="0" t="s">
        <v>4231</v>
      </c>
      <c r="B357" s="0" t="s">
        <v>2112</v>
      </c>
      <c r="C357" s="0" t="s">
        <v>2113</v>
      </c>
      <c r="D357" s="0" t="s">
        <v>2114</v>
      </c>
      <c r="E357" s="0" t="s">
        <v>46</v>
      </c>
      <c r="F357" s="0" t="s">
        <v>4232</v>
      </c>
      <c r="G357" s="0" t="s">
        <v>4233</v>
      </c>
      <c r="H357" s="0" t="s">
        <v>3525</v>
      </c>
      <c r="I357" s="0" t="s">
        <v>46</v>
      </c>
      <c r="J357" s="0" t="s">
        <v>46</v>
      </c>
      <c r="K357" s="0" t="s">
        <v>46</v>
      </c>
      <c r="L357" s="0" t="s">
        <v>46</v>
      </c>
      <c r="M357" s="0" t="s">
        <v>46</v>
      </c>
      <c r="N357" s="0" t="s">
        <v>46</v>
      </c>
    </row>
    <row r="358" customFormat="false" ht="15" hidden="false" customHeight="false" outlineLevel="0" collapsed="false">
      <c r="A358" s="0" t="s">
        <v>4234</v>
      </c>
      <c r="B358" s="0" t="s">
        <v>2261</v>
      </c>
      <c r="C358" s="0" t="s">
        <v>2262</v>
      </c>
      <c r="D358" s="0" t="s">
        <v>2263</v>
      </c>
      <c r="E358" s="0" t="s">
        <v>46</v>
      </c>
      <c r="F358" s="0" t="s">
        <v>4235</v>
      </c>
      <c r="G358" s="0" t="s">
        <v>4236</v>
      </c>
      <c r="H358" s="0" t="s">
        <v>4237</v>
      </c>
      <c r="I358" s="0" t="s">
        <v>46</v>
      </c>
      <c r="J358" s="0" t="s">
        <v>46</v>
      </c>
      <c r="K358" s="0" t="s">
        <v>46</v>
      </c>
      <c r="L358" s="0" t="s">
        <v>46</v>
      </c>
      <c r="M358" s="0" t="s">
        <v>46</v>
      </c>
      <c r="N358" s="0" t="s">
        <v>46</v>
      </c>
    </row>
    <row r="359" customFormat="false" ht="15" hidden="false" customHeight="false" outlineLevel="0" collapsed="false">
      <c r="A359" s="0" t="s">
        <v>4238</v>
      </c>
      <c r="B359" s="0" t="s">
        <v>1243</v>
      </c>
      <c r="C359" s="0" t="s">
        <v>1244</v>
      </c>
      <c r="D359" s="0" t="s">
        <v>1245</v>
      </c>
      <c r="E359" s="0" t="s">
        <v>46</v>
      </c>
      <c r="F359" s="0" t="s">
        <v>46</v>
      </c>
      <c r="G359" s="0" t="s">
        <v>4239</v>
      </c>
      <c r="H359" s="0" t="s">
        <v>4240</v>
      </c>
      <c r="I359" s="0" t="s">
        <v>46</v>
      </c>
      <c r="J359" s="0" t="s">
        <v>46</v>
      </c>
      <c r="K359" s="0" t="s">
        <v>46</v>
      </c>
      <c r="L359" s="0" t="s">
        <v>46</v>
      </c>
      <c r="M359" s="0" t="s">
        <v>46</v>
      </c>
      <c r="N359" s="0" t="s">
        <v>46</v>
      </c>
    </row>
    <row r="360" customFormat="false" ht="15" hidden="false" customHeight="false" outlineLevel="0" collapsed="false">
      <c r="A360" s="0" t="s">
        <v>4241</v>
      </c>
      <c r="B360" s="0" t="s">
        <v>4242</v>
      </c>
      <c r="C360" s="0" t="s">
        <v>4243</v>
      </c>
      <c r="D360" s="0" t="s">
        <v>4244</v>
      </c>
      <c r="E360" s="0" t="s">
        <v>46</v>
      </c>
      <c r="F360" s="0" t="s">
        <v>46</v>
      </c>
      <c r="G360" s="0" t="s">
        <v>4245</v>
      </c>
      <c r="H360" s="0" t="s">
        <v>4246</v>
      </c>
      <c r="I360" s="0" t="s">
        <v>46</v>
      </c>
      <c r="J360" s="0" t="s">
        <v>46</v>
      </c>
      <c r="K360" s="0" t="s">
        <v>46</v>
      </c>
      <c r="L360" s="0" t="s">
        <v>46</v>
      </c>
      <c r="M360" s="0" t="s">
        <v>46</v>
      </c>
      <c r="N360" s="0" t="s">
        <v>46</v>
      </c>
    </row>
    <row r="361" customFormat="false" ht="15" hidden="false" customHeight="false" outlineLevel="0" collapsed="false">
      <c r="A361" s="0" t="s">
        <v>4247</v>
      </c>
      <c r="B361" s="0" t="s">
        <v>46</v>
      </c>
      <c r="C361" s="0" t="s">
        <v>2291</v>
      </c>
      <c r="D361" s="0" t="s">
        <v>46</v>
      </c>
      <c r="E361" s="0" t="s">
        <v>46</v>
      </c>
      <c r="F361" s="0" t="s">
        <v>46</v>
      </c>
      <c r="G361" s="0" t="s">
        <v>3415</v>
      </c>
      <c r="H361" s="0" t="s">
        <v>4248</v>
      </c>
      <c r="I361" s="0" t="s">
        <v>46</v>
      </c>
      <c r="J361" s="0" t="s">
        <v>46</v>
      </c>
      <c r="K361" s="0" t="s">
        <v>46</v>
      </c>
      <c r="L361" s="0" t="s">
        <v>46</v>
      </c>
      <c r="M361" s="0" t="s">
        <v>46</v>
      </c>
      <c r="N361" s="0" t="s">
        <v>46</v>
      </c>
    </row>
    <row r="362" customFormat="false" ht="15" hidden="false" customHeight="false" outlineLevel="0" collapsed="false">
      <c r="A362" s="0" t="s">
        <v>4249</v>
      </c>
      <c r="B362" s="0" t="s">
        <v>4250</v>
      </c>
      <c r="C362" s="0" t="s">
        <v>4251</v>
      </c>
      <c r="D362" s="0" t="s">
        <v>46</v>
      </c>
      <c r="E362" s="0" t="s">
        <v>46</v>
      </c>
      <c r="F362" s="0" t="s">
        <v>4252</v>
      </c>
      <c r="G362" s="0" t="s">
        <v>46</v>
      </c>
      <c r="H362" s="0" t="s">
        <v>46</v>
      </c>
      <c r="I362" s="0" t="s">
        <v>46</v>
      </c>
      <c r="J362" s="0" t="s">
        <v>46</v>
      </c>
      <c r="K362" s="0" t="s">
        <v>46</v>
      </c>
      <c r="L362" s="0" t="s">
        <v>46</v>
      </c>
      <c r="M362" s="0" t="s">
        <v>46</v>
      </c>
      <c r="N362" s="0" t="s">
        <v>46</v>
      </c>
    </row>
    <row r="363" customFormat="false" ht="15" hidden="false" customHeight="false" outlineLevel="0" collapsed="false">
      <c r="A363" s="0" t="s">
        <v>4253</v>
      </c>
      <c r="B363" s="0" t="s">
        <v>4254</v>
      </c>
      <c r="C363" s="0" t="s">
        <v>4255</v>
      </c>
      <c r="D363" s="0" t="s">
        <v>46</v>
      </c>
      <c r="E363" s="0" t="s">
        <v>46</v>
      </c>
      <c r="F363" s="0" t="s">
        <v>46</v>
      </c>
      <c r="G363" s="0" t="s">
        <v>46</v>
      </c>
      <c r="H363" s="0" t="s">
        <v>46</v>
      </c>
      <c r="I363" s="0" t="s">
        <v>46</v>
      </c>
      <c r="J363" s="0" t="s">
        <v>46</v>
      </c>
      <c r="K363" s="0" t="s">
        <v>46</v>
      </c>
      <c r="L363" s="0" t="s">
        <v>46</v>
      </c>
      <c r="M363" s="0" t="s">
        <v>46</v>
      </c>
      <c r="N363" s="0" t="s">
        <v>46</v>
      </c>
    </row>
    <row r="364" customFormat="false" ht="15" hidden="false" customHeight="false" outlineLevel="0" collapsed="false">
      <c r="A364" s="0" t="s">
        <v>4256</v>
      </c>
      <c r="B364" s="0" t="s">
        <v>1891</v>
      </c>
      <c r="C364" s="0" t="s">
        <v>1892</v>
      </c>
      <c r="D364" s="0" t="s">
        <v>1893</v>
      </c>
      <c r="E364" s="0" t="s">
        <v>46</v>
      </c>
      <c r="F364" s="0" t="s">
        <v>4257</v>
      </c>
      <c r="G364" s="0" t="s">
        <v>4258</v>
      </c>
      <c r="H364" s="0" t="s">
        <v>4259</v>
      </c>
      <c r="I364" s="0" t="s">
        <v>46</v>
      </c>
      <c r="J364" s="0" t="s">
        <v>46</v>
      </c>
      <c r="K364" s="0" t="s">
        <v>46</v>
      </c>
      <c r="L364" s="0" t="s">
        <v>46</v>
      </c>
      <c r="M364" s="0" t="s">
        <v>46</v>
      </c>
      <c r="N364" s="0" t="s">
        <v>46</v>
      </c>
    </row>
    <row r="365" customFormat="false" ht="15" hidden="false" customHeight="false" outlineLevel="0" collapsed="false">
      <c r="A365" s="0" t="s">
        <v>4260</v>
      </c>
      <c r="B365" s="0" t="s">
        <v>1216</v>
      </c>
      <c r="C365" s="0" t="s">
        <v>1217</v>
      </c>
      <c r="D365" s="0" t="s">
        <v>46</v>
      </c>
      <c r="E365" s="0" t="s">
        <v>46</v>
      </c>
      <c r="F365" s="0" t="s">
        <v>4261</v>
      </c>
      <c r="G365" s="0" t="s">
        <v>4262</v>
      </c>
      <c r="H365" s="0" t="s">
        <v>46</v>
      </c>
      <c r="I365" s="0" t="s">
        <v>46</v>
      </c>
      <c r="J365" s="0" t="s">
        <v>46</v>
      </c>
      <c r="K365" s="0" t="s">
        <v>46</v>
      </c>
      <c r="L365" s="0" t="s">
        <v>46</v>
      </c>
      <c r="M365" s="0" t="s">
        <v>46</v>
      </c>
      <c r="N365" s="0" t="s">
        <v>46</v>
      </c>
    </row>
    <row r="366" customFormat="false" ht="15" hidden="false" customHeight="false" outlineLevel="0" collapsed="false">
      <c r="A366" s="0" t="s">
        <v>4263</v>
      </c>
      <c r="B366" s="0" t="s">
        <v>3163</v>
      </c>
      <c r="C366" s="0" t="s">
        <v>3164</v>
      </c>
      <c r="D366" s="0" t="s">
        <v>3165</v>
      </c>
      <c r="E366" s="0" t="s">
        <v>46</v>
      </c>
      <c r="F366" s="0" t="s">
        <v>46</v>
      </c>
      <c r="G366" s="0" t="s">
        <v>4264</v>
      </c>
      <c r="H366" s="0" t="s">
        <v>4265</v>
      </c>
      <c r="I366" s="0" t="s">
        <v>46</v>
      </c>
      <c r="J366" s="0" t="s">
        <v>46</v>
      </c>
      <c r="K366" s="0" t="s">
        <v>46</v>
      </c>
      <c r="L366" s="0" t="s">
        <v>46</v>
      </c>
      <c r="M366" s="0" t="s">
        <v>46</v>
      </c>
      <c r="N366" s="0" t="s">
        <v>46</v>
      </c>
    </row>
    <row r="367" customFormat="false" ht="15" hidden="false" customHeight="false" outlineLevel="0" collapsed="false">
      <c r="A367" s="0" t="s">
        <v>4266</v>
      </c>
      <c r="B367" s="0" t="s">
        <v>497</v>
      </c>
      <c r="C367" s="0" t="s">
        <v>498</v>
      </c>
      <c r="D367" s="0" t="s">
        <v>46</v>
      </c>
      <c r="E367" s="0" t="s">
        <v>46</v>
      </c>
      <c r="F367" s="0" t="s">
        <v>46</v>
      </c>
      <c r="G367" s="0" t="s">
        <v>46</v>
      </c>
      <c r="H367" s="0" t="s">
        <v>46</v>
      </c>
      <c r="I367" s="0" t="s">
        <v>46</v>
      </c>
      <c r="J367" s="0" t="s">
        <v>46</v>
      </c>
      <c r="K367" s="0" t="s">
        <v>46</v>
      </c>
      <c r="L367" s="0" t="s">
        <v>46</v>
      </c>
      <c r="M367" s="0" t="s">
        <v>46</v>
      </c>
      <c r="N367" s="0" t="s">
        <v>46</v>
      </c>
    </row>
    <row r="368" customFormat="false" ht="15" hidden="false" customHeight="false" outlineLevel="0" collapsed="false">
      <c r="A368" s="0" t="s">
        <v>4267</v>
      </c>
      <c r="B368" s="0" t="s">
        <v>1936</v>
      </c>
      <c r="C368" s="0" t="s">
        <v>1937</v>
      </c>
      <c r="D368" s="0" t="s">
        <v>1938</v>
      </c>
      <c r="E368" s="0" t="s">
        <v>46</v>
      </c>
      <c r="F368" s="0" t="s">
        <v>4268</v>
      </c>
      <c r="G368" s="0" t="s">
        <v>46</v>
      </c>
      <c r="H368" s="0" t="s">
        <v>46</v>
      </c>
      <c r="I368" s="0" t="s">
        <v>46</v>
      </c>
      <c r="J368" s="0" t="s">
        <v>46</v>
      </c>
      <c r="K368" s="0" t="s">
        <v>46</v>
      </c>
      <c r="L368" s="0" t="s">
        <v>46</v>
      </c>
      <c r="M368" s="0" t="s">
        <v>46</v>
      </c>
      <c r="N368" s="0" t="s">
        <v>46</v>
      </c>
    </row>
    <row r="369" customFormat="false" ht="15" hidden="false" customHeight="false" outlineLevel="0" collapsed="false">
      <c r="A369" s="0" t="s">
        <v>4269</v>
      </c>
      <c r="B369" s="0" t="s">
        <v>46</v>
      </c>
      <c r="C369" s="0" t="s">
        <v>450</v>
      </c>
      <c r="D369" s="0" t="s">
        <v>46</v>
      </c>
      <c r="E369" s="0" t="s">
        <v>46</v>
      </c>
      <c r="F369" s="0" t="s">
        <v>46</v>
      </c>
      <c r="G369" s="0" t="s">
        <v>46</v>
      </c>
      <c r="H369" s="0" t="s">
        <v>46</v>
      </c>
      <c r="I369" s="0" t="s">
        <v>46</v>
      </c>
      <c r="J369" s="0" t="s">
        <v>46</v>
      </c>
      <c r="K369" s="0" t="s">
        <v>46</v>
      </c>
      <c r="L369" s="0" t="s">
        <v>46</v>
      </c>
      <c r="M369" s="0" t="s">
        <v>46</v>
      </c>
      <c r="N369" s="0" t="s">
        <v>46</v>
      </c>
    </row>
    <row r="370" customFormat="false" ht="15" hidden="false" customHeight="false" outlineLevel="0" collapsed="false">
      <c r="A370" s="0" t="s">
        <v>4270</v>
      </c>
      <c r="B370" s="0" t="s">
        <v>1959</v>
      </c>
      <c r="C370" s="0" t="s">
        <v>1960</v>
      </c>
      <c r="D370" s="0" t="s">
        <v>46</v>
      </c>
      <c r="E370" s="0" t="s">
        <v>1961</v>
      </c>
      <c r="F370" s="0" t="s">
        <v>46</v>
      </c>
      <c r="G370" s="0" t="s">
        <v>46</v>
      </c>
      <c r="H370" s="0" t="s">
        <v>46</v>
      </c>
      <c r="I370" s="0" t="s">
        <v>46</v>
      </c>
      <c r="J370" s="0" t="s">
        <v>46</v>
      </c>
      <c r="K370" s="0" t="s">
        <v>46</v>
      </c>
      <c r="L370" s="0" t="s">
        <v>46</v>
      </c>
      <c r="M370" s="0" t="s">
        <v>46</v>
      </c>
      <c r="N370" s="0" t="s">
        <v>46</v>
      </c>
    </row>
    <row r="371" customFormat="false" ht="15" hidden="false" customHeight="false" outlineLevel="0" collapsed="false">
      <c r="A371" s="0" t="s">
        <v>4271</v>
      </c>
      <c r="B371" s="0" t="s">
        <v>46</v>
      </c>
      <c r="C371" s="0" t="s">
        <v>2356</v>
      </c>
      <c r="D371" s="0" t="s">
        <v>46</v>
      </c>
      <c r="E371" s="0" t="s">
        <v>46</v>
      </c>
      <c r="F371" s="0" t="s">
        <v>46</v>
      </c>
      <c r="G371" s="0" t="s">
        <v>46</v>
      </c>
      <c r="H371" s="0" t="s">
        <v>46</v>
      </c>
      <c r="I371" s="0" t="s">
        <v>46</v>
      </c>
      <c r="J371" s="0" t="s">
        <v>46</v>
      </c>
      <c r="K371" s="0" t="s">
        <v>46</v>
      </c>
      <c r="L371" s="0" t="s">
        <v>46</v>
      </c>
      <c r="M371" s="0" t="s">
        <v>46</v>
      </c>
      <c r="N371" s="0" t="s">
        <v>46</v>
      </c>
    </row>
    <row r="372" customFormat="false" ht="15" hidden="false" customHeight="false" outlineLevel="0" collapsed="false">
      <c r="A372" s="0" t="s">
        <v>4272</v>
      </c>
      <c r="B372" s="0" t="s">
        <v>160</v>
      </c>
      <c r="C372" s="0" t="s">
        <v>161</v>
      </c>
      <c r="D372" s="0" t="s">
        <v>162</v>
      </c>
      <c r="E372" s="0" t="s">
        <v>163</v>
      </c>
      <c r="F372" s="0" t="s">
        <v>4273</v>
      </c>
      <c r="G372" s="0" t="s">
        <v>4274</v>
      </c>
      <c r="H372" s="0" t="s">
        <v>4275</v>
      </c>
      <c r="I372" s="0" t="str">
        <f aca="false">HYPERLINK("https://omim.org/entry/600996", "600996")</f>
        <v>600996</v>
      </c>
      <c r="J372" s="0" t="str">
        <f aca="false">HYPERLINK("https://omim.org/entry/604772", "604772")</f>
        <v>604772</v>
      </c>
      <c r="K372" s="0" t="s">
        <v>46</v>
      </c>
      <c r="L372" s="0" t="s">
        <v>46</v>
      </c>
      <c r="M372" s="0" t="s">
        <v>46</v>
      </c>
      <c r="N372" s="0" t="s">
        <v>46</v>
      </c>
    </row>
    <row r="373" customFormat="false" ht="15" hidden="false" customHeight="false" outlineLevel="0" collapsed="false">
      <c r="A373" s="0" t="s">
        <v>4276</v>
      </c>
      <c r="B373" s="0" t="s">
        <v>1583</v>
      </c>
      <c r="C373" s="0" t="s">
        <v>1584</v>
      </c>
      <c r="D373" s="0" t="s">
        <v>46</v>
      </c>
      <c r="E373" s="0" t="s">
        <v>46</v>
      </c>
      <c r="F373" s="0" t="s">
        <v>46</v>
      </c>
      <c r="G373" s="0" t="s">
        <v>46</v>
      </c>
      <c r="H373" s="0" t="s">
        <v>46</v>
      </c>
      <c r="I373" s="0" t="s">
        <v>46</v>
      </c>
      <c r="J373" s="0" t="s">
        <v>46</v>
      </c>
      <c r="K373" s="0" t="s">
        <v>46</v>
      </c>
      <c r="L373" s="0" t="s">
        <v>46</v>
      </c>
      <c r="M373" s="0" t="s">
        <v>46</v>
      </c>
      <c r="N373" s="0" t="s">
        <v>46</v>
      </c>
    </row>
    <row r="374" customFormat="false" ht="15" hidden="false" customHeight="false" outlineLevel="0" collapsed="false">
      <c r="A374" s="0" t="s">
        <v>4277</v>
      </c>
      <c r="B374" s="0" t="s">
        <v>2575</v>
      </c>
      <c r="C374" s="0" t="s">
        <v>2576</v>
      </c>
      <c r="D374" s="0" t="s">
        <v>2577</v>
      </c>
      <c r="E374" s="0" t="s">
        <v>46</v>
      </c>
      <c r="F374" s="0" t="s">
        <v>4278</v>
      </c>
      <c r="G374" s="0" t="s">
        <v>4279</v>
      </c>
      <c r="H374" s="0" t="s">
        <v>3672</v>
      </c>
      <c r="I374" s="0" t="s">
        <v>46</v>
      </c>
      <c r="J374" s="0" t="s">
        <v>46</v>
      </c>
      <c r="K374" s="0" t="s">
        <v>46</v>
      </c>
      <c r="L374" s="0" t="s">
        <v>46</v>
      </c>
      <c r="M374" s="0" t="s">
        <v>46</v>
      </c>
      <c r="N374" s="0" t="s">
        <v>46</v>
      </c>
    </row>
    <row r="375" customFormat="false" ht="15" hidden="false" customHeight="false" outlineLevel="0" collapsed="false">
      <c r="A375" s="0" t="s">
        <v>4280</v>
      </c>
      <c r="B375" s="0" t="s">
        <v>2798</v>
      </c>
      <c r="C375" s="0" t="s">
        <v>2799</v>
      </c>
      <c r="D375" s="0" t="s">
        <v>46</v>
      </c>
      <c r="E375" s="0" t="s">
        <v>46</v>
      </c>
      <c r="F375" s="0" t="s">
        <v>46</v>
      </c>
      <c r="G375" s="0" t="s">
        <v>4210</v>
      </c>
      <c r="H375" s="0" t="s">
        <v>4281</v>
      </c>
      <c r="I375" s="0" t="s">
        <v>46</v>
      </c>
      <c r="J375" s="0" t="s">
        <v>46</v>
      </c>
      <c r="K375" s="0" t="s">
        <v>46</v>
      </c>
      <c r="L375" s="0" t="s">
        <v>46</v>
      </c>
      <c r="M375" s="0" t="s">
        <v>46</v>
      </c>
      <c r="N375" s="0" t="s">
        <v>46</v>
      </c>
    </row>
    <row r="376" customFormat="false" ht="15" hidden="false" customHeight="false" outlineLevel="0" collapsed="false">
      <c r="A376" s="0" t="s">
        <v>4282</v>
      </c>
      <c r="B376" s="0" t="s">
        <v>1999</v>
      </c>
      <c r="C376" s="0" t="s">
        <v>2000</v>
      </c>
      <c r="D376" s="0" t="s">
        <v>2001</v>
      </c>
      <c r="E376" s="0" t="s">
        <v>46</v>
      </c>
      <c r="F376" s="0" t="s">
        <v>46</v>
      </c>
      <c r="G376" s="0" t="s">
        <v>4283</v>
      </c>
      <c r="H376" s="0" t="s">
        <v>4284</v>
      </c>
      <c r="I376" s="0" t="s">
        <v>46</v>
      </c>
      <c r="J376" s="0" t="s">
        <v>46</v>
      </c>
      <c r="K376" s="0" t="s">
        <v>46</v>
      </c>
      <c r="L376" s="0" t="s">
        <v>46</v>
      </c>
      <c r="M376" s="0" t="s">
        <v>46</v>
      </c>
      <c r="N376" s="0" t="s">
        <v>46</v>
      </c>
    </row>
    <row r="377" customFormat="false" ht="15" hidden="false" customHeight="false" outlineLevel="0" collapsed="false">
      <c r="A377" s="0" t="s">
        <v>4285</v>
      </c>
      <c r="B377" s="0" t="s">
        <v>1479</v>
      </c>
      <c r="C377" s="0" t="s">
        <v>1480</v>
      </c>
      <c r="D377" s="0" t="s">
        <v>1481</v>
      </c>
      <c r="E377" s="0" t="s">
        <v>46</v>
      </c>
      <c r="F377" s="0" t="s">
        <v>46</v>
      </c>
      <c r="G377" s="0" t="s">
        <v>4286</v>
      </c>
      <c r="H377" s="0" t="s">
        <v>4287</v>
      </c>
      <c r="I377" s="0" t="s">
        <v>46</v>
      </c>
      <c r="J377" s="0" t="s">
        <v>46</v>
      </c>
      <c r="K377" s="0" t="s">
        <v>46</v>
      </c>
      <c r="L377" s="0" t="s">
        <v>46</v>
      </c>
      <c r="M377" s="0" t="s">
        <v>46</v>
      </c>
      <c r="N377" s="0" t="s">
        <v>46</v>
      </c>
    </row>
    <row r="378" customFormat="false" ht="15" hidden="false" customHeight="false" outlineLevel="0" collapsed="false">
      <c r="A378" s="0" t="s">
        <v>4288</v>
      </c>
      <c r="B378" s="0" t="s">
        <v>2202</v>
      </c>
      <c r="C378" s="0" t="s">
        <v>2203</v>
      </c>
      <c r="D378" s="0" t="s">
        <v>46</v>
      </c>
      <c r="E378" s="0" t="s">
        <v>2204</v>
      </c>
      <c r="F378" s="0" t="s">
        <v>4289</v>
      </c>
      <c r="G378" s="0" t="s">
        <v>4290</v>
      </c>
      <c r="H378" s="0" t="s">
        <v>46</v>
      </c>
      <c r="I378" s="0" t="str">
        <f aca="false">HYPERLINK("https://omim.org/entry/602771", "602771")</f>
        <v>602771</v>
      </c>
      <c r="J378" s="0" t="s">
        <v>46</v>
      </c>
      <c r="K378" s="0" t="s">
        <v>46</v>
      </c>
      <c r="L378" s="0" t="s">
        <v>46</v>
      </c>
      <c r="M378" s="0" t="s">
        <v>46</v>
      </c>
      <c r="N378" s="0" t="s">
        <v>46</v>
      </c>
    </row>
    <row r="379" customFormat="false" ht="15" hidden="false" customHeight="false" outlineLevel="0" collapsed="false">
      <c r="A379" s="0" t="s">
        <v>4291</v>
      </c>
      <c r="B379" s="0" t="s">
        <v>868</v>
      </c>
      <c r="C379" s="0" t="s">
        <v>869</v>
      </c>
      <c r="D379" s="0" t="s">
        <v>870</v>
      </c>
      <c r="E379" s="0" t="s">
        <v>46</v>
      </c>
      <c r="F379" s="0" t="s">
        <v>4292</v>
      </c>
      <c r="G379" s="0" t="s">
        <v>4293</v>
      </c>
      <c r="H379" s="0" t="s">
        <v>4294</v>
      </c>
      <c r="I379" s="0" t="s">
        <v>46</v>
      </c>
      <c r="J379" s="0" t="s">
        <v>46</v>
      </c>
      <c r="K379" s="0" t="s">
        <v>46</v>
      </c>
      <c r="L379" s="0" t="s">
        <v>46</v>
      </c>
      <c r="M379" s="0" t="s">
        <v>46</v>
      </c>
      <c r="N379" s="0" t="s">
        <v>46</v>
      </c>
    </row>
    <row r="380" customFormat="false" ht="15" hidden="false" customHeight="false" outlineLevel="0" collapsed="false">
      <c r="A380" s="0" t="s">
        <v>4295</v>
      </c>
      <c r="B380" s="0" t="s">
        <v>396</v>
      </c>
      <c r="C380" s="0" t="s">
        <v>397</v>
      </c>
      <c r="D380" s="0" t="s">
        <v>398</v>
      </c>
      <c r="E380" s="0" t="s">
        <v>46</v>
      </c>
      <c r="F380" s="0" t="s">
        <v>4296</v>
      </c>
      <c r="G380" s="0" t="s">
        <v>4297</v>
      </c>
      <c r="H380" s="0" t="s">
        <v>4298</v>
      </c>
      <c r="I380" s="0" t="s">
        <v>46</v>
      </c>
      <c r="J380" s="0" t="s">
        <v>46</v>
      </c>
      <c r="K380" s="0" t="s">
        <v>46</v>
      </c>
      <c r="L380" s="0" t="s">
        <v>46</v>
      </c>
      <c r="M380" s="0" t="s">
        <v>46</v>
      </c>
      <c r="N380" s="0" t="s">
        <v>46</v>
      </c>
    </row>
    <row r="381" customFormat="false" ht="15" hidden="false" customHeight="false" outlineLevel="0" collapsed="false">
      <c r="A381" s="0" t="s">
        <v>4299</v>
      </c>
      <c r="B381" s="0" t="s">
        <v>2764</v>
      </c>
      <c r="C381" s="0" t="s">
        <v>2765</v>
      </c>
      <c r="D381" s="0" t="s">
        <v>46</v>
      </c>
      <c r="E381" s="0" t="s">
        <v>46</v>
      </c>
      <c r="F381" s="0" t="s">
        <v>46</v>
      </c>
      <c r="G381" s="0" t="s">
        <v>4300</v>
      </c>
      <c r="H381" s="0" t="s">
        <v>46</v>
      </c>
      <c r="I381" s="0" t="s">
        <v>46</v>
      </c>
      <c r="J381" s="0" t="s">
        <v>46</v>
      </c>
      <c r="K381" s="0" t="s">
        <v>46</v>
      </c>
      <c r="L381" s="0" t="s">
        <v>46</v>
      </c>
      <c r="M381" s="0" t="s">
        <v>46</v>
      </c>
      <c r="N381" s="0" t="s">
        <v>46</v>
      </c>
    </row>
    <row r="382" customFormat="false" ht="15" hidden="false" customHeight="false" outlineLevel="0" collapsed="false">
      <c r="A382" s="0" t="s">
        <v>4301</v>
      </c>
      <c r="B382" s="0" t="s">
        <v>1743</v>
      </c>
      <c r="C382" s="0" t="s">
        <v>1744</v>
      </c>
      <c r="D382" s="0" t="s">
        <v>1745</v>
      </c>
      <c r="E382" s="0" t="s">
        <v>46</v>
      </c>
      <c r="F382" s="0" t="s">
        <v>4302</v>
      </c>
      <c r="G382" s="0" t="s">
        <v>4303</v>
      </c>
      <c r="H382" s="0" t="s">
        <v>4304</v>
      </c>
      <c r="I382" s="0" t="s">
        <v>46</v>
      </c>
      <c r="J382" s="0" t="s">
        <v>46</v>
      </c>
      <c r="K382" s="0" t="s">
        <v>46</v>
      </c>
      <c r="L382" s="0" t="s">
        <v>46</v>
      </c>
      <c r="M382" s="0" t="s">
        <v>46</v>
      </c>
      <c r="N382" s="0" t="s">
        <v>46</v>
      </c>
    </row>
    <row r="383" customFormat="false" ht="15" hidden="false" customHeight="false" outlineLevel="0" collapsed="false">
      <c r="A383" s="0" t="s">
        <v>4305</v>
      </c>
      <c r="B383" s="0" t="s">
        <v>1715</v>
      </c>
      <c r="C383" s="0" t="s">
        <v>1716</v>
      </c>
      <c r="D383" s="0" t="s">
        <v>46</v>
      </c>
      <c r="E383" s="0" t="s">
        <v>46</v>
      </c>
      <c r="F383" s="0" t="s">
        <v>46</v>
      </c>
      <c r="G383" s="0" t="s">
        <v>4306</v>
      </c>
      <c r="H383" s="0" t="s">
        <v>46</v>
      </c>
      <c r="I383" s="0" t="s">
        <v>46</v>
      </c>
      <c r="J383" s="0" t="s">
        <v>46</v>
      </c>
      <c r="K383" s="0" t="s">
        <v>46</v>
      </c>
      <c r="L383" s="0" t="s">
        <v>46</v>
      </c>
      <c r="M383" s="0" t="s">
        <v>46</v>
      </c>
      <c r="N383" s="0" t="s">
        <v>46</v>
      </c>
    </row>
    <row r="384" customFormat="false" ht="15" hidden="false" customHeight="false" outlineLevel="0" collapsed="false">
      <c r="A384" s="0" t="s">
        <v>4307</v>
      </c>
      <c r="B384" s="0" t="s">
        <v>1409</v>
      </c>
      <c r="C384" s="0" t="s">
        <v>1410</v>
      </c>
      <c r="D384" s="0" t="s">
        <v>1411</v>
      </c>
      <c r="E384" s="0" t="s">
        <v>46</v>
      </c>
      <c r="F384" s="0" t="s">
        <v>4308</v>
      </c>
      <c r="G384" s="0" t="s">
        <v>4309</v>
      </c>
      <c r="H384" s="0" t="s">
        <v>4310</v>
      </c>
      <c r="I384" s="0" t="s">
        <v>46</v>
      </c>
      <c r="J384" s="0" t="s">
        <v>46</v>
      </c>
      <c r="K384" s="0" t="s">
        <v>46</v>
      </c>
      <c r="L384" s="0" t="s">
        <v>46</v>
      </c>
      <c r="M384" s="0" t="s">
        <v>46</v>
      </c>
      <c r="N384" s="0" t="s">
        <v>46</v>
      </c>
    </row>
    <row r="385" customFormat="false" ht="15" hidden="false" customHeight="false" outlineLevel="0" collapsed="false">
      <c r="A385" s="0" t="s">
        <v>4311</v>
      </c>
      <c r="B385" s="0" t="s">
        <v>880</v>
      </c>
      <c r="C385" s="0" t="s">
        <v>881</v>
      </c>
      <c r="D385" s="0" t="s">
        <v>882</v>
      </c>
      <c r="E385" s="0" t="s">
        <v>883</v>
      </c>
      <c r="F385" s="0" t="s">
        <v>4312</v>
      </c>
      <c r="G385" s="0" t="s">
        <v>4313</v>
      </c>
      <c r="H385" s="0" t="s">
        <v>4314</v>
      </c>
      <c r="I385" s="0" t="str">
        <f aca="false">HYPERLINK("https://omim.org/entry/613436", "613436")</f>
        <v>613436</v>
      </c>
      <c r="J385" s="0" t="s">
        <v>46</v>
      </c>
      <c r="K385" s="0" t="s">
        <v>46</v>
      </c>
      <c r="L385" s="0" t="s">
        <v>46</v>
      </c>
      <c r="M385" s="0" t="s">
        <v>46</v>
      </c>
      <c r="N385" s="0" t="s">
        <v>46</v>
      </c>
    </row>
    <row r="386" customFormat="false" ht="15" hidden="false" customHeight="false" outlineLevel="0" collapsed="false">
      <c r="A386" s="0" t="s">
        <v>4315</v>
      </c>
      <c r="B386" s="0" t="s">
        <v>2846</v>
      </c>
      <c r="C386" s="0" t="s">
        <v>2847</v>
      </c>
      <c r="D386" s="0" t="s">
        <v>2848</v>
      </c>
      <c r="E386" s="0" t="s">
        <v>2849</v>
      </c>
      <c r="F386" s="0" t="s">
        <v>46</v>
      </c>
      <c r="G386" s="0" t="s">
        <v>4316</v>
      </c>
      <c r="H386" s="0" t="s">
        <v>4317</v>
      </c>
      <c r="I386" s="0" t="str">
        <f aca="false">HYPERLINK("https://omim.org/entry/616341", "616341")</f>
        <v>616341</v>
      </c>
      <c r="J386" s="0" t="s">
        <v>46</v>
      </c>
      <c r="K386" s="0" t="s">
        <v>46</v>
      </c>
      <c r="L386" s="0" t="s">
        <v>46</v>
      </c>
      <c r="M386" s="0" t="s">
        <v>46</v>
      </c>
      <c r="N386" s="0" t="s">
        <v>46</v>
      </c>
    </row>
    <row r="387" customFormat="false" ht="15" hidden="false" customHeight="false" outlineLevel="0" collapsed="false">
      <c r="A387" s="0" t="s">
        <v>4318</v>
      </c>
      <c r="B387" s="0" t="s">
        <v>1877</v>
      </c>
      <c r="C387" s="0" t="s">
        <v>1878</v>
      </c>
      <c r="D387" s="0" t="s">
        <v>1879</v>
      </c>
      <c r="E387" s="0" t="s">
        <v>46</v>
      </c>
      <c r="F387" s="0" t="s">
        <v>46</v>
      </c>
      <c r="G387" s="0" t="s">
        <v>4319</v>
      </c>
      <c r="H387" s="0" t="s">
        <v>3806</v>
      </c>
      <c r="I387" s="0" t="s">
        <v>46</v>
      </c>
      <c r="J387" s="0" t="s">
        <v>46</v>
      </c>
      <c r="K387" s="0" t="s">
        <v>46</v>
      </c>
      <c r="L387" s="0" t="s">
        <v>46</v>
      </c>
      <c r="M387" s="0" t="s">
        <v>46</v>
      </c>
      <c r="N387" s="0" t="s">
        <v>46</v>
      </c>
    </row>
    <row r="388" customFormat="false" ht="15" hidden="false" customHeight="false" outlineLevel="0" collapsed="false">
      <c r="A388" s="0" t="s">
        <v>4320</v>
      </c>
      <c r="B388" s="0" t="s">
        <v>232</v>
      </c>
      <c r="C388" s="0" t="s">
        <v>233</v>
      </c>
      <c r="D388" s="0" t="s">
        <v>234</v>
      </c>
      <c r="E388" s="0" t="s">
        <v>46</v>
      </c>
      <c r="F388" s="0" t="s">
        <v>4321</v>
      </c>
      <c r="G388" s="0" t="s">
        <v>4322</v>
      </c>
      <c r="H388" s="0" t="s">
        <v>4323</v>
      </c>
      <c r="I388" s="0" t="s">
        <v>46</v>
      </c>
      <c r="J388" s="0" t="s">
        <v>46</v>
      </c>
      <c r="K388" s="0" t="s">
        <v>46</v>
      </c>
      <c r="L388" s="0" t="s">
        <v>46</v>
      </c>
      <c r="M388" s="0" t="s">
        <v>46</v>
      </c>
      <c r="N388" s="0" t="s">
        <v>46</v>
      </c>
    </row>
    <row r="389" customFormat="false" ht="15" hidden="false" customHeight="false" outlineLevel="0" collapsed="false">
      <c r="A389" s="0" t="s">
        <v>4324</v>
      </c>
      <c r="B389" s="0" t="s">
        <v>1604</v>
      </c>
      <c r="C389" s="0" t="s">
        <v>1605</v>
      </c>
      <c r="D389" s="0" t="s">
        <v>1606</v>
      </c>
      <c r="E389" s="0" t="s">
        <v>46</v>
      </c>
      <c r="F389" s="0" t="s">
        <v>4325</v>
      </c>
      <c r="G389" s="0" t="s">
        <v>4326</v>
      </c>
      <c r="H389" s="0" t="s">
        <v>3206</v>
      </c>
      <c r="I389" s="0" t="s">
        <v>46</v>
      </c>
      <c r="J389" s="0" t="s">
        <v>46</v>
      </c>
      <c r="K389" s="0" t="s">
        <v>46</v>
      </c>
      <c r="L389" s="0" t="s">
        <v>46</v>
      </c>
      <c r="M389" s="0" t="s">
        <v>46</v>
      </c>
      <c r="N389" s="0" t="s">
        <v>46</v>
      </c>
    </row>
    <row r="390" customFormat="false" ht="15" hidden="false" customHeight="false" outlineLevel="0" collapsed="false">
      <c r="A390" s="0" t="s">
        <v>4327</v>
      </c>
      <c r="B390" s="0" t="s">
        <v>467</v>
      </c>
      <c r="C390" s="0" t="s">
        <v>468</v>
      </c>
      <c r="D390" s="0" t="s">
        <v>469</v>
      </c>
      <c r="E390" s="0" t="s">
        <v>46</v>
      </c>
      <c r="F390" s="0" t="s">
        <v>4328</v>
      </c>
      <c r="G390" s="0" t="s">
        <v>46</v>
      </c>
      <c r="H390" s="0" t="s">
        <v>46</v>
      </c>
      <c r="I390" s="0" t="s">
        <v>46</v>
      </c>
      <c r="J390" s="0" t="s">
        <v>46</v>
      </c>
      <c r="K390" s="0" t="s">
        <v>46</v>
      </c>
      <c r="L390" s="0" t="s">
        <v>46</v>
      </c>
      <c r="M390" s="0" t="s">
        <v>46</v>
      </c>
      <c r="N390" s="0" t="s">
        <v>46</v>
      </c>
    </row>
    <row r="391" customFormat="false" ht="15" hidden="false" customHeight="false" outlineLevel="0" collapsed="false">
      <c r="A391" s="0" t="s">
        <v>4329</v>
      </c>
      <c r="B391" s="0" t="s">
        <v>105</v>
      </c>
      <c r="C391" s="0" t="s">
        <v>106</v>
      </c>
      <c r="D391" s="0" t="s">
        <v>107</v>
      </c>
      <c r="E391" s="0" t="s">
        <v>108</v>
      </c>
      <c r="F391" s="0" t="s">
        <v>4330</v>
      </c>
      <c r="G391" s="0" t="s">
        <v>4331</v>
      </c>
      <c r="H391" s="0" t="s">
        <v>4332</v>
      </c>
      <c r="I391" s="0" t="str">
        <f aca="false">HYPERLINK("https://omim.org/entry/606407", "606407")</f>
        <v>606407</v>
      </c>
      <c r="J391" s="0" t="s">
        <v>46</v>
      </c>
      <c r="K391" s="0" t="s">
        <v>46</v>
      </c>
      <c r="L391" s="0" t="s">
        <v>46</v>
      </c>
      <c r="M391" s="0" t="s">
        <v>46</v>
      </c>
      <c r="N391" s="0" t="s">
        <v>46</v>
      </c>
    </row>
    <row r="392" customFormat="false" ht="15" hidden="false" customHeight="false" outlineLevel="0" collapsed="false">
      <c r="A392" s="0" t="s">
        <v>4333</v>
      </c>
      <c r="B392" s="0" t="s">
        <v>1589</v>
      </c>
      <c r="C392" s="0" t="s">
        <v>1590</v>
      </c>
      <c r="D392" s="0" t="s">
        <v>1591</v>
      </c>
      <c r="E392" s="0" t="s">
        <v>46</v>
      </c>
      <c r="F392" s="0" t="s">
        <v>46</v>
      </c>
      <c r="G392" s="0" t="s">
        <v>46</v>
      </c>
      <c r="H392" s="0" t="s">
        <v>46</v>
      </c>
      <c r="I392" s="0" t="s">
        <v>46</v>
      </c>
      <c r="J392" s="0" t="s">
        <v>46</v>
      </c>
      <c r="K392" s="0" t="s">
        <v>46</v>
      </c>
      <c r="L392" s="0" t="s">
        <v>46</v>
      </c>
      <c r="M392" s="0" t="s">
        <v>46</v>
      </c>
      <c r="N392" s="0" t="s">
        <v>46</v>
      </c>
    </row>
    <row r="393" customFormat="false" ht="15" hidden="false" customHeight="false" outlineLevel="0" collapsed="false">
      <c r="A393" s="0" t="s">
        <v>4334</v>
      </c>
      <c r="B393" s="0" t="s">
        <v>276</v>
      </c>
      <c r="C393" s="0" t="s">
        <v>277</v>
      </c>
      <c r="D393" s="0" t="s">
        <v>278</v>
      </c>
      <c r="E393" s="0" t="s">
        <v>46</v>
      </c>
      <c r="F393" s="0" t="s">
        <v>46</v>
      </c>
      <c r="G393" s="0" t="s">
        <v>4335</v>
      </c>
      <c r="H393" s="0" t="s">
        <v>46</v>
      </c>
      <c r="I393" s="0" t="s">
        <v>46</v>
      </c>
      <c r="J393" s="0" t="s">
        <v>46</v>
      </c>
      <c r="K393" s="0" t="s">
        <v>46</v>
      </c>
      <c r="L393" s="0" t="s">
        <v>46</v>
      </c>
      <c r="M393" s="0" t="s">
        <v>46</v>
      </c>
      <c r="N393" s="0" t="s">
        <v>46</v>
      </c>
    </row>
    <row r="394" customFormat="false" ht="15" hidden="false" customHeight="false" outlineLevel="0" collapsed="false">
      <c r="A394" s="0" t="s">
        <v>4336</v>
      </c>
      <c r="B394" s="0" t="s">
        <v>1086</v>
      </c>
      <c r="C394" s="0" t="s">
        <v>1087</v>
      </c>
      <c r="D394" s="0" t="s">
        <v>1088</v>
      </c>
      <c r="E394" s="0" t="s">
        <v>46</v>
      </c>
      <c r="F394" s="0" t="s">
        <v>4337</v>
      </c>
      <c r="G394" s="0" t="s">
        <v>4338</v>
      </c>
      <c r="H394" s="0" t="s">
        <v>4339</v>
      </c>
      <c r="I394" s="0" t="s">
        <v>46</v>
      </c>
      <c r="J394" s="0" t="s">
        <v>46</v>
      </c>
      <c r="K394" s="0" t="s">
        <v>46</v>
      </c>
      <c r="L394" s="0" t="s">
        <v>46</v>
      </c>
      <c r="M394" s="0" t="s">
        <v>46</v>
      </c>
      <c r="N394" s="0" t="s">
        <v>46</v>
      </c>
    </row>
    <row r="395" customFormat="false" ht="15" hidden="false" customHeight="false" outlineLevel="0" collapsed="false">
      <c r="A395" s="0" t="s">
        <v>4340</v>
      </c>
      <c r="B395" s="0" t="s">
        <v>2825</v>
      </c>
      <c r="C395" s="0" t="s">
        <v>2826</v>
      </c>
      <c r="D395" s="0" t="s">
        <v>2827</v>
      </c>
      <c r="E395" s="0" t="s">
        <v>46</v>
      </c>
      <c r="F395" s="0" t="s">
        <v>4341</v>
      </c>
      <c r="G395" s="0" t="s">
        <v>4342</v>
      </c>
      <c r="H395" s="0" t="s">
        <v>4343</v>
      </c>
      <c r="I395" s="0" t="s">
        <v>46</v>
      </c>
      <c r="J395" s="0" t="s">
        <v>46</v>
      </c>
      <c r="K395" s="0" t="s">
        <v>46</v>
      </c>
      <c r="L395" s="0" t="s">
        <v>46</v>
      </c>
      <c r="M395" s="0" t="s">
        <v>46</v>
      </c>
      <c r="N395" s="0" t="s">
        <v>46</v>
      </c>
    </row>
    <row r="396" customFormat="false" ht="15" hidden="false" customHeight="false" outlineLevel="0" collapsed="false">
      <c r="A396" s="0" t="s">
        <v>4344</v>
      </c>
      <c r="B396" s="0" t="s">
        <v>2443</v>
      </c>
      <c r="C396" s="0" t="s">
        <v>2444</v>
      </c>
      <c r="D396" s="0" t="s">
        <v>2445</v>
      </c>
      <c r="E396" s="0" t="s">
        <v>2446</v>
      </c>
      <c r="F396" s="0" t="s">
        <v>4345</v>
      </c>
      <c r="G396" s="0" t="s">
        <v>46</v>
      </c>
      <c r="H396" s="0" t="s">
        <v>46</v>
      </c>
      <c r="I396" s="0" t="str">
        <f aca="false">HYPERLINK("https://omim.org/entry/137580", "137580")</f>
        <v>137580</v>
      </c>
      <c r="J396" s="0" t="str">
        <f aca="false">HYPERLINK("https://omim.org/entry/613229", "613229")</f>
        <v>613229</v>
      </c>
      <c r="K396" s="0" t="s">
        <v>46</v>
      </c>
      <c r="L396" s="0" t="s">
        <v>46</v>
      </c>
      <c r="M396" s="0" t="s">
        <v>46</v>
      </c>
      <c r="N396" s="0" t="s">
        <v>46</v>
      </c>
    </row>
    <row r="397" customFormat="false" ht="15" hidden="false" customHeight="false" outlineLevel="0" collapsed="false">
      <c r="A397" s="0" t="s">
        <v>4346</v>
      </c>
      <c r="B397" s="0" t="s">
        <v>2698</v>
      </c>
      <c r="C397" s="0" t="s">
        <v>2699</v>
      </c>
      <c r="D397" s="0" t="s">
        <v>2700</v>
      </c>
      <c r="E397" s="0" t="s">
        <v>2701</v>
      </c>
      <c r="F397" s="0" t="s">
        <v>4347</v>
      </c>
      <c r="G397" s="0" t="s">
        <v>4348</v>
      </c>
      <c r="H397" s="0" t="s">
        <v>4349</v>
      </c>
      <c r="I397" s="0" t="str">
        <f aca="false">HYPERLINK("https://omim.org/entry/614609", "614609")</f>
        <v>614609</v>
      </c>
      <c r="J397" s="0" t="s">
        <v>46</v>
      </c>
      <c r="K397" s="0" t="s">
        <v>46</v>
      </c>
      <c r="L397" s="0" t="s">
        <v>46</v>
      </c>
      <c r="M397" s="0" t="s">
        <v>46</v>
      </c>
      <c r="N397" s="0" t="s">
        <v>46</v>
      </c>
    </row>
    <row r="398" customFormat="false" ht="15" hidden="false" customHeight="false" outlineLevel="0" collapsed="false">
      <c r="A398" s="0" t="s">
        <v>4350</v>
      </c>
      <c r="B398" s="0" t="s">
        <v>3120</v>
      </c>
      <c r="C398" s="0" t="s">
        <v>3121</v>
      </c>
      <c r="D398" s="0" t="s">
        <v>3122</v>
      </c>
      <c r="E398" s="0" t="s">
        <v>46</v>
      </c>
      <c r="F398" s="0" t="s">
        <v>4351</v>
      </c>
      <c r="G398" s="0" t="s">
        <v>4352</v>
      </c>
      <c r="H398" s="0" t="s">
        <v>4353</v>
      </c>
      <c r="I398" s="0" t="s">
        <v>46</v>
      </c>
      <c r="J398" s="0" t="s">
        <v>46</v>
      </c>
      <c r="K398" s="0" t="s">
        <v>46</v>
      </c>
      <c r="L398" s="0" t="s">
        <v>46</v>
      </c>
      <c r="M398" s="0" t="s">
        <v>46</v>
      </c>
      <c r="N398" s="0" t="s">
        <v>46</v>
      </c>
    </row>
    <row r="399" customFormat="false" ht="15" hidden="false" customHeight="false" outlineLevel="0" collapsed="false">
      <c r="A399" s="0" t="s">
        <v>4354</v>
      </c>
      <c r="B399" s="0" t="s">
        <v>1184</v>
      </c>
      <c r="C399" s="0" t="s">
        <v>1185</v>
      </c>
      <c r="D399" s="0" t="s">
        <v>1186</v>
      </c>
      <c r="E399" s="0" t="s">
        <v>46</v>
      </c>
      <c r="F399" s="0" t="s">
        <v>4355</v>
      </c>
      <c r="G399" s="0" t="s">
        <v>46</v>
      </c>
      <c r="H399" s="0" t="s">
        <v>46</v>
      </c>
      <c r="I399" s="0" t="s">
        <v>46</v>
      </c>
      <c r="J399" s="0" t="s">
        <v>46</v>
      </c>
      <c r="K399" s="0" t="s">
        <v>46</v>
      </c>
      <c r="L399" s="0" t="s">
        <v>46</v>
      </c>
      <c r="M399" s="0" t="s">
        <v>46</v>
      </c>
      <c r="N399" s="0" t="s">
        <v>46</v>
      </c>
    </row>
    <row r="400" customFormat="false" ht="15" hidden="false" customHeight="false" outlineLevel="0" collapsed="false">
      <c r="A400" s="0" t="s">
        <v>4356</v>
      </c>
      <c r="B400" s="0" t="s">
        <v>1393</v>
      </c>
      <c r="C400" s="0" t="s">
        <v>1394</v>
      </c>
      <c r="D400" s="0" t="s">
        <v>1395</v>
      </c>
      <c r="E400" s="0" t="s">
        <v>46</v>
      </c>
      <c r="F400" s="0" t="s">
        <v>46</v>
      </c>
      <c r="G400" s="0" t="s">
        <v>4357</v>
      </c>
      <c r="H400" s="0" t="s">
        <v>4358</v>
      </c>
      <c r="I400" s="0" t="s">
        <v>46</v>
      </c>
      <c r="J400" s="0" t="s">
        <v>46</v>
      </c>
      <c r="K400" s="0" t="s">
        <v>46</v>
      </c>
      <c r="L400" s="0" t="s">
        <v>46</v>
      </c>
      <c r="M400" s="0" t="s">
        <v>46</v>
      </c>
      <c r="N400" s="0" t="s">
        <v>46</v>
      </c>
    </row>
    <row r="401" customFormat="false" ht="15" hidden="false" customHeight="false" outlineLevel="0" collapsed="false">
      <c r="A401" s="0" t="s">
        <v>4359</v>
      </c>
      <c r="B401" s="0" t="s">
        <v>4360</v>
      </c>
      <c r="C401" s="0" t="s">
        <v>4361</v>
      </c>
      <c r="D401" s="0" t="s">
        <v>4362</v>
      </c>
      <c r="E401" s="0" t="s">
        <v>46</v>
      </c>
      <c r="F401" s="0" t="s">
        <v>46</v>
      </c>
      <c r="G401" s="0" t="s">
        <v>4363</v>
      </c>
      <c r="H401" s="0" t="s">
        <v>4364</v>
      </c>
      <c r="I401" s="0" t="s">
        <v>46</v>
      </c>
      <c r="J401" s="0" t="s">
        <v>46</v>
      </c>
      <c r="K401" s="0" t="s">
        <v>46</v>
      </c>
      <c r="L401" s="0" t="s">
        <v>46</v>
      </c>
      <c r="M401" s="0" t="s">
        <v>46</v>
      </c>
      <c r="N401" s="0" t="s">
        <v>46</v>
      </c>
    </row>
    <row r="402" customFormat="false" ht="15" hidden="false" customHeight="false" outlineLevel="0" collapsed="false">
      <c r="A402" s="0" t="s">
        <v>4365</v>
      </c>
      <c r="B402" s="0" t="s">
        <v>1473</v>
      </c>
      <c r="C402" s="0" t="s">
        <v>1474</v>
      </c>
      <c r="D402" s="0" t="s">
        <v>1475</v>
      </c>
      <c r="E402" s="0" t="s">
        <v>1476</v>
      </c>
      <c r="F402" s="0" t="s">
        <v>4366</v>
      </c>
      <c r="G402" s="0" t="s">
        <v>4367</v>
      </c>
      <c r="H402" s="0" t="s">
        <v>4368</v>
      </c>
      <c r="I402" s="0" t="str">
        <f aca="false">HYPERLINK("https://omim.org/entry/610359", "610359")</f>
        <v>610359</v>
      </c>
      <c r="J402" s="0" t="s">
        <v>46</v>
      </c>
      <c r="K402" s="0" t="s">
        <v>46</v>
      </c>
      <c r="L402" s="0" t="s">
        <v>46</v>
      </c>
      <c r="M402" s="0" t="s">
        <v>46</v>
      </c>
      <c r="N402" s="0" t="s">
        <v>46</v>
      </c>
    </row>
    <row r="403" customFormat="false" ht="15" hidden="false" customHeight="false" outlineLevel="0" collapsed="false">
      <c r="A403" s="0" t="s">
        <v>4369</v>
      </c>
      <c r="B403" s="0" t="s">
        <v>3034</v>
      </c>
      <c r="C403" s="0" t="s">
        <v>3035</v>
      </c>
      <c r="D403" s="0" t="s">
        <v>3036</v>
      </c>
      <c r="E403" s="0" t="s">
        <v>46</v>
      </c>
      <c r="F403" s="0" t="s">
        <v>4370</v>
      </c>
      <c r="G403" s="0" t="s">
        <v>4371</v>
      </c>
      <c r="H403" s="0" t="s">
        <v>46</v>
      </c>
      <c r="I403" s="0" t="s">
        <v>46</v>
      </c>
      <c r="J403" s="0" t="s">
        <v>46</v>
      </c>
      <c r="K403" s="0" t="s">
        <v>46</v>
      </c>
      <c r="L403" s="0" t="s">
        <v>46</v>
      </c>
      <c r="M403" s="0" t="s">
        <v>46</v>
      </c>
      <c r="N403" s="0" t="s">
        <v>46</v>
      </c>
    </row>
    <row r="404" customFormat="false" ht="15" hidden="false" customHeight="false" outlineLevel="0" collapsed="false">
      <c r="A404" s="0" t="s">
        <v>4372</v>
      </c>
      <c r="B404" s="0" t="s">
        <v>2306</v>
      </c>
      <c r="C404" s="0" t="s">
        <v>2307</v>
      </c>
      <c r="D404" s="0" t="s">
        <v>2308</v>
      </c>
      <c r="E404" s="0" t="s">
        <v>46</v>
      </c>
      <c r="F404" s="0" t="s">
        <v>4373</v>
      </c>
      <c r="G404" s="0" t="s">
        <v>4374</v>
      </c>
      <c r="H404" s="0" t="s">
        <v>4375</v>
      </c>
      <c r="I404" s="0" t="s">
        <v>46</v>
      </c>
      <c r="J404" s="0" t="s">
        <v>46</v>
      </c>
      <c r="K404" s="0" t="s">
        <v>46</v>
      </c>
      <c r="L404" s="0" t="s">
        <v>46</v>
      </c>
      <c r="M404" s="0" t="s">
        <v>46</v>
      </c>
      <c r="N404" s="0" t="s">
        <v>46</v>
      </c>
    </row>
    <row r="405" customFormat="false" ht="15" hidden="false" customHeight="false" outlineLevel="0" collapsed="false">
      <c r="A405" s="0" t="s">
        <v>4376</v>
      </c>
      <c r="B405" s="0" t="s">
        <v>1497</v>
      </c>
      <c r="C405" s="0" t="s">
        <v>1498</v>
      </c>
      <c r="D405" s="0" t="s">
        <v>1499</v>
      </c>
      <c r="E405" s="0" t="s">
        <v>46</v>
      </c>
      <c r="F405" s="0" t="s">
        <v>3992</v>
      </c>
      <c r="G405" s="0" t="s">
        <v>4377</v>
      </c>
      <c r="H405" s="0" t="s">
        <v>4378</v>
      </c>
      <c r="I405" s="0" t="s">
        <v>46</v>
      </c>
      <c r="J405" s="0" t="s">
        <v>46</v>
      </c>
      <c r="K405" s="0" t="s">
        <v>46</v>
      </c>
      <c r="L405" s="0" t="s">
        <v>46</v>
      </c>
      <c r="M405" s="0" t="s">
        <v>46</v>
      </c>
      <c r="N405" s="0" t="s">
        <v>46</v>
      </c>
    </row>
    <row r="406" customFormat="false" ht="15" hidden="false" customHeight="false" outlineLevel="0" collapsed="false">
      <c r="A406" s="0" t="s">
        <v>4379</v>
      </c>
      <c r="B406" s="0" t="s">
        <v>2869</v>
      </c>
      <c r="C406" s="0" t="s">
        <v>4380</v>
      </c>
      <c r="D406" s="0" t="s">
        <v>2871</v>
      </c>
      <c r="E406" s="0" t="s">
        <v>2872</v>
      </c>
      <c r="F406" s="0" t="s">
        <v>46</v>
      </c>
      <c r="G406" s="0" t="s">
        <v>4381</v>
      </c>
      <c r="H406" s="0" t="s">
        <v>4382</v>
      </c>
      <c r="I406" s="0" t="str">
        <f aca="false">HYPERLINK("https://omim.org/entry/600251", "600251")</f>
        <v>600251</v>
      </c>
      <c r="J406" s="0" t="str">
        <f aca="false">HYPERLINK("https://omim.org/entry/145410", "145410")</f>
        <v>145410</v>
      </c>
      <c r="K406" s="0" t="s">
        <v>46</v>
      </c>
      <c r="L406" s="0" t="s">
        <v>46</v>
      </c>
      <c r="M406" s="0" t="s">
        <v>46</v>
      </c>
      <c r="N406" s="0" t="s">
        <v>46</v>
      </c>
    </row>
    <row r="407" customFormat="false" ht="15" hidden="false" customHeight="false" outlineLevel="0" collapsed="false">
      <c r="A407" s="0" t="s">
        <v>4383</v>
      </c>
      <c r="B407" s="0" t="s">
        <v>46</v>
      </c>
      <c r="C407" s="0" t="s">
        <v>4384</v>
      </c>
      <c r="D407" s="0" t="s">
        <v>46</v>
      </c>
      <c r="E407" s="0" t="s">
        <v>46</v>
      </c>
      <c r="F407" s="0" t="s">
        <v>46</v>
      </c>
      <c r="G407" s="0" t="s">
        <v>46</v>
      </c>
      <c r="H407" s="0" t="s">
        <v>46</v>
      </c>
      <c r="I407" s="0" t="s">
        <v>46</v>
      </c>
      <c r="J407" s="0" t="s">
        <v>46</v>
      </c>
      <c r="K407" s="0" t="s">
        <v>46</v>
      </c>
      <c r="L407" s="0" t="s">
        <v>46</v>
      </c>
      <c r="M407" s="0" t="s">
        <v>46</v>
      </c>
      <c r="N407" s="0" t="s">
        <v>46</v>
      </c>
    </row>
    <row r="408" customFormat="false" ht="15" hidden="false" customHeight="false" outlineLevel="0" collapsed="false">
      <c r="A408" s="0" t="s">
        <v>4385</v>
      </c>
      <c r="B408" s="0" t="s">
        <v>2581</v>
      </c>
      <c r="C408" s="0" t="s">
        <v>2582</v>
      </c>
      <c r="D408" s="0" t="s">
        <v>2583</v>
      </c>
      <c r="E408" s="0" t="s">
        <v>46</v>
      </c>
      <c r="F408" s="0" t="s">
        <v>46</v>
      </c>
      <c r="G408" s="0" t="s">
        <v>4386</v>
      </c>
      <c r="H408" s="0" t="s">
        <v>46</v>
      </c>
      <c r="I408" s="0" t="s">
        <v>46</v>
      </c>
      <c r="J408" s="0" t="s">
        <v>46</v>
      </c>
      <c r="K408" s="0" t="s">
        <v>46</v>
      </c>
      <c r="L408" s="0" t="s">
        <v>46</v>
      </c>
      <c r="M408" s="0" t="s">
        <v>46</v>
      </c>
      <c r="N408" s="0" t="s">
        <v>46</v>
      </c>
    </row>
    <row r="409" customFormat="false" ht="15" hidden="false" customHeight="false" outlineLevel="0" collapsed="false">
      <c r="A409" s="0" t="s">
        <v>4387</v>
      </c>
      <c r="B409" s="0" t="s">
        <v>2829</v>
      </c>
      <c r="C409" s="0" t="s">
        <v>4388</v>
      </c>
      <c r="D409" s="0" t="s">
        <v>2831</v>
      </c>
      <c r="E409" s="0" t="s">
        <v>46</v>
      </c>
      <c r="F409" s="0" t="s">
        <v>4389</v>
      </c>
      <c r="G409" s="0" t="s">
        <v>4390</v>
      </c>
      <c r="H409" s="0" t="s">
        <v>4391</v>
      </c>
      <c r="I409" s="0" t="s">
        <v>46</v>
      </c>
      <c r="J409" s="0" t="s">
        <v>46</v>
      </c>
      <c r="K409" s="0" t="s">
        <v>46</v>
      </c>
      <c r="L409" s="0" t="s">
        <v>46</v>
      </c>
      <c r="M409" s="0" t="s">
        <v>46</v>
      </c>
      <c r="N409" s="0" t="s">
        <v>46</v>
      </c>
    </row>
    <row r="410" customFormat="false" ht="15" hidden="false" customHeight="false" outlineLevel="0" collapsed="false">
      <c r="A410" s="0" t="s">
        <v>4392</v>
      </c>
      <c r="B410" s="0" t="s">
        <v>1447</v>
      </c>
      <c r="C410" s="0" t="s">
        <v>1448</v>
      </c>
      <c r="D410" s="0" t="s">
        <v>1449</v>
      </c>
      <c r="E410" s="0" t="s">
        <v>46</v>
      </c>
      <c r="F410" s="0" t="s">
        <v>4393</v>
      </c>
      <c r="G410" s="0" t="s">
        <v>4394</v>
      </c>
      <c r="H410" s="0" t="s">
        <v>4395</v>
      </c>
      <c r="I410" s="0" t="s">
        <v>46</v>
      </c>
      <c r="J410" s="0" t="s">
        <v>46</v>
      </c>
      <c r="K410" s="0" t="s">
        <v>46</v>
      </c>
      <c r="L410" s="0" t="s">
        <v>46</v>
      </c>
      <c r="M410" s="0" t="s">
        <v>46</v>
      </c>
      <c r="N410" s="0" t="s">
        <v>46</v>
      </c>
    </row>
    <row r="411" customFormat="false" ht="15" hidden="false" customHeight="false" outlineLevel="0" collapsed="false">
      <c r="A411" s="0" t="s">
        <v>4396</v>
      </c>
      <c r="B411" s="0" t="s">
        <v>1124</v>
      </c>
      <c r="C411" s="0" t="s">
        <v>1125</v>
      </c>
      <c r="D411" s="0" t="s">
        <v>46</v>
      </c>
      <c r="E411" s="0" t="s">
        <v>46</v>
      </c>
      <c r="F411" s="0" t="s">
        <v>4397</v>
      </c>
      <c r="G411" s="0" t="s">
        <v>4398</v>
      </c>
      <c r="H411" s="0" t="s">
        <v>4399</v>
      </c>
      <c r="I411" s="0" t="s">
        <v>46</v>
      </c>
      <c r="J411" s="0" t="s">
        <v>46</v>
      </c>
      <c r="K411" s="0" t="s">
        <v>46</v>
      </c>
      <c r="L411" s="0" t="s">
        <v>46</v>
      </c>
      <c r="M411" s="0" t="s">
        <v>46</v>
      </c>
      <c r="N411" s="0" t="s">
        <v>46</v>
      </c>
    </row>
    <row r="412" customFormat="false" ht="15" hidden="false" customHeight="false" outlineLevel="0" collapsed="false">
      <c r="A412" s="0" t="s">
        <v>4400</v>
      </c>
      <c r="B412" s="0" t="s">
        <v>2421</v>
      </c>
      <c r="C412" s="0" t="s">
        <v>2422</v>
      </c>
      <c r="D412" s="0" t="s">
        <v>2423</v>
      </c>
      <c r="E412" s="0" t="s">
        <v>46</v>
      </c>
      <c r="F412" s="0" t="s">
        <v>4401</v>
      </c>
      <c r="G412" s="0" t="s">
        <v>4402</v>
      </c>
      <c r="H412" s="0" t="s">
        <v>4403</v>
      </c>
      <c r="I412" s="0" t="s">
        <v>46</v>
      </c>
      <c r="J412" s="0" t="s">
        <v>46</v>
      </c>
      <c r="K412" s="0" t="s">
        <v>46</v>
      </c>
      <c r="L412" s="0" t="s">
        <v>46</v>
      </c>
      <c r="M412" s="0" t="s">
        <v>46</v>
      </c>
      <c r="N412" s="0" t="s">
        <v>46</v>
      </c>
    </row>
    <row r="413" customFormat="false" ht="15" hidden="false" customHeight="false" outlineLevel="0" collapsed="false">
      <c r="A413" s="0" t="s">
        <v>4404</v>
      </c>
      <c r="B413" s="0" t="s">
        <v>2346</v>
      </c>
      <c r="C413" s="0" t="s">
        <v>2347</v>
      </c>
      <c r="D413" s="0" t="s">
        <v>2348</v>
      </c>
      <c r="E413" s="0" t="s">
        <v>46</v>
      </c>
      <c r="F413" s="0" t="s">
        <v>46</v>
      </c>
      <c r="G413" s="0" t="s">
        <v>4405</v>
      </c>
      <c r="H413" s="0" t="s">
        <v>4406</v>
      </c>
      <c r="I413" s="0" t="s">
        <v>46</v>
      </c>
      <c r="J413" s="0" t="s">
        <v>46</v>
      </c>
      <c r="K413" s="0" t="s">
        <v>46</v>
      </c>
      <c r="L413" s="0" t="s">
        <v>46</v>
      </c>
      <c r="M413" s="0" t="s">
        <v>46</v>
      </c>
      <c r="N413" s="0" t="s">
        <v>46</v>
      </c>
    </row>
    <row r="414" customFormat="false" ht="15" hidden="false" customHeight="false" outlineLevel="0" collapsed="false">
      <c r="A414" s="0" t="s">
        <v>4407</v>
      </c>
      <c r="B414" s="0" t="s">
        <v>1019</v>
      </c>
      <c r="C414" s="0" t="s">
        <v>1020</v>
      </c>
      <c r="D414" s="0" t="s">
        <v>1021</v>
      </c>
      <c r="E414" s="0" t="s">
        <v>46</v>
      </c>
      <c r="F414" s="0" t="s">
        <v>4408</v>
      </c>
      <c r="G414" s="0" t="s">
        <v>4409</v>
      </c>
      <c r="H414" s="0" t="s">
        <v>4410</v>
      </c>
      <c r="I414" s="0" t="s">
        <v>46</v>
      </c>
      <c r="J414" s="0" t="s">
        <v>46</v>
      </c>
      <c r="K414" s="0" t="s">
        <v>46</v>
      </c>
      <c r="L414" s="0" t="s">
        <v>46</v>
      </c>
      <c r="M414" s="0" t="s">
        <v>46</v>
      </c>
      <c r="N414" s="0" t="s">
        <v>46</v>
      </c>
    </row>
    <row r="415" customFormat="false" ht="15" hidden="false" customHeight="false" outlineLevel="0" collapsed="false">
      <c r="A415" s="0" t="s">
        <v>4411</v>
      </c>
      <c r="B415" s="0" t="s">
        <v>949</v>
      </c>
      <c r="C415" s="0" t="s">
        <v>950</v>
      </c>
      <c r="D415" s="0" t="s">
        <v>951</v>
      </c>
      <c r="E415" s="0" t="s">
        <v>46</v>
      </c>
      <c r="F415" s="0" t="s">
        <v>46</v>
      </c>
      <c r="G415" s="0" t="s">
        <v>4412</v>
      </c>
      <c r="H415" s="0" t="s">
        <v>4413</v>
      </c>
      <c r="I415" s="0" t="s">
        <v>46</v>
      </c>
      <c r="J415" s="0" t="s">
        <v>46</v>
      </c>
      <c r="K415" s="0" t="s">
        <v>46</v>
      </c>
      <c r="L415" s="0" t="s">
        <v>46</v>
      </c>
      <c r="M415" s="0" t="s">
        <v>46</v>
      </c>
      <c r="N415" s="0" t="s">
        <v>46</v>
      </c>
    </row>
    <row r="416" customFormat="false" ht="15" hidden="false" customHeight="false" outlineLevel="0" collapsed="false">
      <c r="A416" s="0" t="s">
        <v>4414</v>
      </c>
      <c r="B416" s="0" t="s">
        <v>2618</v>
      </c>
      <c r="C416" s="0" t="s">
        <v>2619</v>
      </c>
      <c r="D416" s="0" t="s">
        <v>2620</v>
      </c>
      <c r="E416" s="0" t="s">
        <v>2621</v>
      </c>
      <c r="F416" s="0" t="s">
        <v>4415</v>
      </c>
      <c r="G416" s="0" t="s">
        <v>4416</v>
      </c>
      <c r="H416" s="0" t="s">
        <v>4417</v>
      </c>
      <c r="I416" s="0" t="str">
        <f aca="false">HYPERLINK("https://omim.org/entry/147060", "147060")</f>
        <v>147060</v>
      </c>
      <c r="J416" s="0" t="str">
        <f aca="false">HYPERLINK("https://omim.org/entry/615952", "615952")</f>
        <v>615952</v>
      </c>
      <c r="K416" s="0" t="s">
        <v>46</v>
      </c>
      <c r="L416" s="0" t="s">
        <v>46</v>
      </c>
      <c r="M416" s="0" t="s">
        <v>46</v>
      </c>
      <c r="N416" s="0" t="s">
        <v>46</v>
      </c>
    </row>
    <row r="417" customFormat="false" ht="15" hidden="false" customHeight="false" outlineLevel="0" collapsed="false">
      <c r="A417" s="0" t="s">
        <v>4418</v>
      </c>
      <c r="B417" s="0" t="s">
        <v>2047</v>
      </c>
      <c r="C417" s="0" t="s">
        <v>2048</v>
      </c>
      <c r="D417" s="0" t="s">
        <v>2049</v>
      </c>
      <c r="E417" s="0" t="s">
        <v>2050</v>
      </c>
      <c r="F417" s="0" t="s">
        <v>4419</v>
      </c>
      <c r="G417" s="0" t="s">
        <v>46</v>
      </c>
      <c r="H417" s="0" t="s">
        <v>46</v>
      </c>
      <c r="I417" s="0" t="str">
        <f aca="false">HYPERLINK("https://omim.org/entry/614868", "614868")</f>
        <v>614868</v>
      </c>
      <c r="J417" s="0" t="s">
        <v>46</v>
      </c>
      <c r="K417" s="0" t="s">
        <v>46</v>
      </c>
      <c r="L417" s="0" t="s">
        <v>46</v>
      </c>
      <c r="M417" s="0" t="s">
        <v>46</v>
      </c>
      <c r="N417" s="0" t="s">
        <v>46</v>
      </c>
    </row>
    <row r="418" customFormat="false" ht="15" hidden="false" customHeight="false" outlineLevel="0" collapsed="false">
      <c r="A418" s="0" t="s">
        <v>4420</v>
      </c>
      <c r="B418" s="0" t="s">
        <v>3094</v>
      </c>
      <c r="C418" s="0" t="s">
        <v>3095</v>
      </c>
      <c r="D418" s="0" t="s">
        <v>3096</v>
      </c>
      <c r="E418" s="0" t="s">
        <v>46</v>
      </c>
      <c r="F418" s="0" t="s">
        <v>46</v>
      </c>
      <c r="G418" s="0" t="s">
        <v>4421</v>
      </c>
      <c r="H418" s="0" t="s">
        <v>4422</v>
      </c>
      <c r="I418" s="0" t="s">
        <v>46</v>
      </c>
      <c r="J418" s="0" t="s">
        <v>46</v>
      </c>
      <c r="K418" s="0" t="s">
        <v>46</v>
      </c>
      <c r="L418" s="0" t="s">
        <v>46</v>
      </c>
      <c r="M418" s="0" t="s">
        <v>46</v>
      </c>
      <c r="N418" s="0" t="s">
        <v>46</v>
      </c>
    </row>
    <row r="419" customFormat="false" ht="15" hidden="false" customHeight="false" outlineLevel="0" collapsed="false">
      <c r="A419" s="0" t="s">
        <v>4423</v>
      </c>
      <c r="B419" s="0" t="s">
        <v>2434</v>
      </c>
      <c r="C419" s="0" t="s">
        <v>2435</v>
      </c>
      <c r="D419" s="0" t="s">
        <v>2436</v>
      </c>
      <c r="E419" s="0" t="s">
        <v>46</v>
      </c>
      <c r="F419" s="0" t="s">
        <v>46</v>
      </c>
      <c r="G419" s="0" t="s">
        <v>4424</v>
      </c>
      <c r="H419" s="0" t="s">
        <v>3832</v>
      </c>
      <c r="I419" s="0" t="s">
        <v>46</v>
      </c>
      <c r="J419" s="0" t="s">
        <v>46</v>
      </c>
      <c r="K419" s="0" t="s">
        <v>46</v>
      </c>
      <c r="L419" s="0" t="s">
        <v>46</v>
      </c>
      <c r="M419" s="0" t="s">
        <v>46</v>
      </c>
      <c r="N419" s="0" t="s">
        <v>46</v>
      </c>
    </row>
    <row r="420" customFormat="false" ht="15" hidden="false" customHeight="false" outlineLevel="0" collapsed="false">
      <c r="A420" s="0" t="s">
        <v>4425</v>
      </c>
      <c r="B420" s="0" t="s">
        <v>1850</v>
      </c>
      <c r="C420" s="0" t="s">
        <v>1851</v>
      </c>
      <c r="D420" s="0" t="s">
        <v>1852</v>
      </c>
      <c r="E420" s="0" t="s">
        <v>46</v>
      </c>
      <c r="F420" s="0" t="s">
        <v>46</v>
      </c>
      <c r="G420" s="0" t="s">
        <v>4426</v>
      </c>
      <c r="H420" s="0" t="s">
        <v>3415</v>
      </c>
      <c r="I420" s="0" t="s">
        <v>46</v>
      </c>
      <c r="J420" s="0" t="s">
        <v>46</v>
      </c>
      <c r="K420" s="0" t="s">
        <v>46</v>
      </c>
      <c r="L420" s="0" t="s">
        <v>46</v>
      </c>
      <c r="M420" s="0" t="s">
        <v>46</v>
      </c>
      <c r="N420" s="0" t="s">
        <v>46</v>
      </c>
    </row>
    <row r="421" customFormat="false" ht="15" hidden="false" customHeight="false" outlineLevel="0" collapsed="false">
      <c r="A421" s="0" t="s">
        <v>4427</v>
      </c>
      <c r="B421" s="0" t="s">
        <v>2802</v>
      </c>
      <c r="C421" s="0" t="s">
        <v>2803</v>
      </c>
      <c r="D421" s="0" t="s">
        <v>46</v>
      </c>
      <c r="E421" s="0" t="s">
        <v>46</v>
      </c>
      <c r="F421" s="0" t="s">
        <v>4428</v>
      </c>
      <c r="G421" s="0" t="s">
        <v>3483</v>
      </c>
      <c r="H421" s="0" t="s">
        <v>4429</v>
      </c>
      <c r="I421" s="0" t="s">
        <v>46</v>
      </c>
      <c r="J421" s="0" t="s">
        <v>46</v>
      </c>
      <c r="K421" s="0" t="s">
        <v>46</v>
      </c>
      <c r="L421" s="0" t="s">
        <v>46</v>
      </c>
      <c r="M421" s="0" t="s">
        <v>46</v>
      </c>
      <c r="N421" s="0" t="s">
        <v>46</v>
      </c>
    </row>
    <row r="422" customFormat="false" ht="15" hidden="false" customHeight="false" outlineLevel="0" collapsed="false">
      <c r="A422" s="0" t="s">
        <v>4430</v>
      </c>
      <c r="B422" s="0" t="s">
        <v>3135</v>
      </c>
      <c r="C422" s="0" t="s">
        <v>3136</v>
      </c>
      <c r="D422" s="0" t="s">
        <v>3137</v>
      </c>
      <c r="E422" s="0" t="s">
        <v>46</v>
      </c>
      <c r="F422" s="0" t="s">
        <v>4431</v>
      </c>
      <c r="G422" s="0" t="s">
        <v>4432</v>
      </c>
      <c r="H422" s="0" t="s">
        <v>4433</v>
      </c>
      <c r="I422" s="0" t="s">
        <v>46</v>
      </c>
      <c r="J422" s="0" t="s">
        <v>46</v>
      </c>
      <c r="K422" s="0" t="s">
        <v>46</v>
      </c>
      <c r="L422" s="0" t="s">
        <v>46</v>
      </c>
      <c r="M422" s="0" t="s">
        <v>46</v>
      </c>
      <c r="N422" s="0" t="s">
        <v>46</v>
      </c>
    </row>
    <row r="423" customFormat="false" ht="15" hidden="false" customHeight="false" outlineLevel="0" collapsed="false">
      <c r="A423" s="0" t="s">
        <v>4434</v>
      </c>
      <c r="B423" s="0" t="s">
        <v>1415</v>
      </c>
      <c r="C423" s="0" t="s">
        <v>1416</v>
      </c>
      <c r="D423" s="0" t="s">
        <v>1417</v>
      </c>
      <c r="E423" s="0" t="s">
        <v>46</v>
      </c>
      <c r="F423" s="0" t="s">
        <v>46</v>
      </c>
      <c r="G423" s="0" t="s">
        <v>4435</v>
      </c>
      <c r="H423" s="0" t="s">
        <v>4436</v>
      </c>
      <c r="I423" s="0" t="s">
        <v>46</v>
      </c>
      <c r="J423" s="0" t="s">
        <v>46</v>
      </c>
      <c r="K423" s="0" t="s">
        <v>46</v>
      </c>
      <c r="L423" s="0" t="s">
        <v>46</v>
      </c>
      <c r="M423" s="0" t="s">
        <v>46</v>
      </c>
      <c r="N423" s="0" t="s">
        <v>46</v>
      </c>
    </row>
    <row r="424" customFormat="false" ht="15" hidden="false" customHeight="false" outlineLevel="0" collapsed="false">
      <c r="A424" s="0" t="s">
        <v>4437</v>
      </c>
      <c r="B424" s="0" t="s">
        <v>2351</v>
      </c>
      <c r="C424" s="0" t="s">
        <v>2352</v>
      </c>
      <c r="D424" s="0" t="s">
        <v>2353</v>
      </c>
      <c r="E424" s="0" t="s">
        <v>46</v>
      </c>
      <c r="F424" s="0" t="s">
        <v>4438</v>
      </c>
      <c r="G424" s="0" t="s">
        <v>4439</v>
      </c>
      <c r="H424" s="0" t="s">
        <v>46</v>
      </c>
      <c r="I424" s="0" t="s">
        <v>46</v>
      </c>
      <c r="J424" s="0" t="s">
        <v>46</v>
      </c>
      <c r="K424" s="0" t="s">
        <v>46</v>
      </c>
      <c r="L424" s="0" t="s">
        <v>46</v>
      </c>
      <c r="M424" s="0" t="s">
        <v>46</v>
      </c>
      <c r="N424" s="0" t="s">
        <v>46</v>
      </c>
    </row>
    <row r="425" customFormat="false" ht="15" hidden="false" customHeight="false" outlineLevel="0" collapsed="false">
      <c r="A425" s="0" t="s">
        <v>4440</v>
      </c>
      <c r="B425" s="0" t="s">
        <v>1427</v>
      </c>
      <c r="C425" s="0" t="s">
        <v>1428</v>
      </c>
      <c r="D425" s="0" t="s">
        <v>1429</v>
      </c>
      <c r="E425" s="0" t="s">
        <v>46</v>
      </c>
      <c r="F425" s="0" t="s">
        <v>46</v>
      </c>
      <c r="G425" s="0" t="s">
        <v>4441</v>
      </c>
      <c r="H425" s="0" t="s">
        <v>4442</v>
      </c>
      <c r="I425" s="0" t="s">
        <v>46</v>
      </c>
      <c r="J425" s="0" t="s">
        <v>46</v>
      </c>
      <c r="K425" s="0" t="s">
        <v>46</v>
      </c>
      <c r="L425" s="0" t="s">
        <v>46</v>
      </c>
      <c r="M425" s="0" t="s">
        <v>46</v>
      </c>
      <c r="N425" s="0" t="s">
        <v>46</v>
      </c>
    </row>
    <row r="426" customFormat="false" ht="15" hidden="false" customHeight="false" outlineLevel="0" collapsed="false">
      <c r="A426" s="0" t="s">
        <v>4443</v>
      </c>
      <c r="B426" s="0" t="s">
        <v>2626</v>
      </c>
      <c r="C426" s="0" t="s">
        <v>2627</v>
      </c>
      <c r="D426" s="0" t="s">
        <v>46</v>
      </c>
      <c r="E426" s="0" t="s">
        <v>46</v>
      </c>
      <c r="F426" s="0" t="s">
        <v>46</v>
      </c>
      <c r="G426" s="0" t="s">
        <v>46</v>
      </c>
      <c r="H426" s="0" t="s">
        <v>46</v>
      </c>
      <c r="I426" s="0" t="s">
        <v>46</v>
      </c>
      <c r="J426" s="0" t="s">
        <v>46</v>
      </c>
      <c r="K426" s="0" t="s">
        <v>46</v>
      </c>
      <c r="L426" s="0" t="s">
        <v>46</v>
      </c>
      <c r="M426" s="0" t="s">
        <v>46</v>
      </c>
      <c r="N426" s="0" t="s">
        <v>46</v>
      </c>
    </row>
    <row r="427" customFormat="false" ht="15" hidden="false" customHeight="false" outlineLevel="0" collapsed="false">
      <c r="A427" s="0" t="s">
        <v>4444</v>
      </c>
      <c r="B427" s="0" t="s">
        <v>2553</v>
      </c>
      <c r="C427" s="0" t="s">
        <v>2554</v>
      </c>
      <c r="D427" s="0" t="s">
        <v>2555</v>
      </c>
      <c r="E427" s="0" t="s">
        <v>2556</v>
      </c>
      <c r="F427" s="0" t="s">
        <v>46</v>
      </c>
      <c r="G427" s="0" t="s">
        <v>4445</v>
      </c>
      <c r="H427" s="0" t="s">
        <v>4446</v>
      </c>
      <c r="I427" s="0" t="str">
        <f aca="false">HYPERLINK("https://omim.org/entry/276600", "276600")</f>
        <v>276600</v>
      </c>
      <c r="J427" s="0" t="s">
        <v>46</v>
      </c>
      <c r="K427" s="0" t="s">
        <v>46</v>
      </c>
      <c r="L427" s="0" t="s">
        <v>46</v>
      </c>
      <c r="M427" s="0" t="s">
        <v>46</v>
      </c>
      <c r="N427" s="0" t="s">
        <v>46</v>
      </c>
    </row>
    <row r="428" customFormat="false" ht="15" hidden="false" customHeight="false" outlineLevel="0" collapsed="false">
      <c r="A428" s="0" t="s">
        <v>4447</v>
      </c>
      <c r="B428" s="0" t="s">
        <v>438</v>
      </c>
      <c r="C428" s="0" t="s">
        <v>439</v>
      </c>
      <c r="D428" s="0" t="s">
        <v>440</v>
      </c>
      <c r="E428" s="0" t="s">
        <v>46</v>
      </c>
      <c r="F428" s="0" t="s">
        <v>46</v>
      </c>
      <c r="G428" s="0" t="s">
        <v>46</v>
      </c>
      <c r="H428" s="0" t="s">
        <v>46</v>
      </c>
      <c r="I428" s="0" t="s">
        <v>46</v>
      </c>
      <c r="J428" s="0" t="s">
        <v>46</v>
      </c>
      <c r="K428" s="0" t="s">
        <v>46</v>
      </c>
      <c r="L428" s="0" t="s">
        <v>46</v>
      </c>
      <c r="M428" s="0" t="s">
        <v>46</v>
      </c>
      <c r="N428" s="0" t="s">
        <v>46</v>
      </c>
    </row>
    <row r="429" customFormat="false" ht="15" hidden="false" customHeight="false" outlineLevel="0" collapsed="false">
      <c r="A429" s="0" t="s">
        <v>4448</v>
      </c>
      <c r="B429" s="0" t="s">
        <v>1172</v>
      </c>
      <c r="C429" s="0" t="s">
        <v>1173</v>
      </c>
      <c r="D429" s="0" t="s">
        <v>46</v>
      </c>
      <c r="E429" s="0" t="s">
        <v>46</v>
      </c>
      <c r="F429" s="0" t="s">
        <v>46</v>
      </c>
      <c r="G429" s="0" t="s">
        <v>4449</v>
      </c>
      <c r="H429" s="0" t="s">
        <v>4450</v>
      </c>
      <c r="I429" s="0" t="s">
        <v>46</v>
      </c>
      <c r="J429" s="0" t="s">
        <v>46</v>
      </c>
      <c r="K429" s="0" t="s">
        <v>46</v>
      </c>
      <c r="L429" s="0" t="s">
        <v>46</v>
      </c>
      <c r="M429" s="0" t="s">
        <v>46</v>
      </c>
      <c r="N429" s="0" t="s">
        <v>46</v>
      </c>
    </row>
    <row r="430" customFormat="false" ht="15" hidden="false" customHeight="false" outlineLevel="0" collapsed="false">
      <c r="A430" s="0" t="s">
        <v>4451</v>
      </c>
      <c r="B430" s="0" t="s">
        <v>1354</v>
      </c>
      <c r="C430" s="0" t="s">
        <v>1355</v>
      </c>
      <c r="D430" s="0" t="s">
        <v>1356</v>
      </c>
      <c r="E430" s="0" t="s">
        <v>1357</v>
      </c>
      <c r="F430" s="0" t="s">
        <v>46</v>
      </c>
      <c r="G430" s="0" t="s">
        <v>46</v>
      </c>
      <c r="H430" s="0" t="s">
        <v>46</v>
      </c>
      <c r="I430" s="0" t="str">
        <f aca="false">HYPERLINK("https://omim.org/entry/614009", "614009")</f>
        <v>614009</v>
      </c>
      <c r="J430" s="0" t="s">
        <v>46</v>
      </c>
      <c r="K430" s="0" t="s">
        <v>46</v>
      </c>
      <c r="L430" s="0" t="s">
        <v>46</v>
      </c>
      <c r="M430" s="0" t="s">
        <v>46</v>
      </c>
      <c r="N430" s="0" t="s">
        <v>46</v>
      </c>
    </row>
    <row r="431" customFormat="false" ht="15" hidden="false" customHeight="false" outlineLevel="0" collapsed="false">
      <c r="A431" s="0" t="s">
        <v>4452</v>
      </c>
      <c r="B431" s="0" t="s">
        <v>1571</v>
      </c>
      <c r="C431" s="0" t="s">
        <v>1572</v>
      </c>
      <c r="D431" s="0" t="s">
        <v>1573</v>
      </c>
      <c r="E431" s="0" t="s">
        <v>46</v>
      </c>
      <c r="F431" s="0" t="s">
        <v>4453</v>
      </c>
      <c r="G431" s="0" t="s">
        <v>4454</v>
      </c>
      <c r="H431" s="0" t="s">
        <v>4455</v>
      </c>
      <c r="I431" s="0" t="s">
        <v>46</v>
      </c>
      <c r="J431" s="0" t="s">
        <v>46</v>
      </c>
      <c r="K431" s="0" t="s">
        <v>46</v>
      </c>
      <c r="L431" s="0" t="s">
        <v>46</v>
      </c>
      <c r="M431" s="0" t="s">
        <v>46</v>
      </c>
      <c r="N431" s="0" t="s">
        <v>46</v>
      </c>
    </row>
    <row r="432" customFormat="false" ht="15" hidden="false" customHeight="false" outlineLevel="0" collapsed="false">
      <c r="A432" s="0" t="s">
        <v>4456</v>
      </c>
      <c r="B432" s="0" t="s">
        <v>621</v>
      </c>
      <c r="C432" s="0" t="s">
        <v>622</v>
      </c>
      <c r="D432" s="0" t="s">
        <v>46</v>
      </c>
      <c r="E432" s="0" t="s">
        <v>46</v>
      </c>
      <c r="F432" s="0" t="s">
        <v>46</v>
      </c>
      <c r="G432" s="0" t="s">
        <v>46</v>
      </c>
      <c r="H432" s="0" t="s">
        <v>46</v>
      </c>
      <c r="I432" s="0" t="s">
        <v>46</v>
      </c>
      <c r="J432" s="0" t="s">
        <v>46</v>
      </c>
      <c r="K432" s="0" t="s">
        <v>46</v>
      </c>
      <c r="L432" s="0" t="s">
        <v>46</v>
      </c>
      <c r="M432" s="0" t="s">
        <v>46</v>
      </c>
      <c r="N432" s="0" t="s">
        <v>46</v>
      </c>
    </row>
    <row r="433" customFormat="false" ht="15" hidden="false" customHeight="false" outlineLevel="0" collapsed="false">
      <c r="A433" s="0" t="s">
        <v>4457</v>
      </c>
      <c r="B433" s="0" t="s">
        <v>1718</v>
      </c>
      <c r="C433" s="0" t="s">
        <v>1719</v>
      </c>
      <c r="D433" s="0" t="s">
        <v>1720</v>
      </c>
      <c r="E433" s="0" t="s">
        <v>46</v>
      </c>
      <c r="F433" s="0" t="s">
        <v>4458</v>
      </c>
      <c r="G433" s="0" t="s">
        <v>46</v>
      </c>
      <c r="H433" s="0" t="s">
        <v>46</v>
      </c>
      <c r="I433" s="0" t="s">
        <v>46</v>
      </c>
      <c r="J433" s="0" t="s">
        <v>46</v>
      </c>
      <c r="K433" s="0" t="s">
        <v>46</v>
      </c>
      <c r="L433" s="0" t="s">
        <v>46</v>
      </c>
      <c r="M433" s="0" t="s">
        <v>46</v>
      </c>
      <c r="N433" s="0" t="s">
        <v>46</v>
      </c>
    </row>
    <row r="434" customFormat="false" ht="15" hidden="false" customHeight="false" outlineLevel="0" collapsed="false">
      <c r="A434" s="0" t="s">
        <v>4459</v>
      </c>
      <c r="B434" s="0" t="s">
        <v>46</v>
      </c>
      <c r="C434" s="0" t="s">
        <v>1308</v>
      </c>
      <c r="D434" s="0" t="s">
        <v>1309</v>
      </c>
      <c r="E434" s="0" t="s">
        <v>46</v>
      </c>
      <c r="F434" s="0" t="s">
        <v>46</v>
      </c>
      <c r="G434" s="0" t="s">
        <v>46</v>
      </c>
      <c r="H434" s="0" t="s">
        <v>46</v>
      </c>
      <c r="I434" s="0" t="s">
        <v>46</v>
      </c>
      <c r="J434" s="0" t="s">
        <v>46</v>
      </c>
      <c r="K434" s="0" t="s">
        <v>46</v>
      </c>
      <c r="L434" s="0" t="s">
        <v>46</v>
      </c>
      <c r="M434" s="0" t="s">
        <v>46</v>
      </c>
      <c r="N434" s="0" t="s">
        <v>46</v>
      </c>
    </row>
    <row r="435" customFormat="false" ht="15" hidden="false" customHeight="false" outlineLevel="0" collapsed="false">
      <c r="A435" s="0" t="s">
        <v>4460</v>
      </c>
      <c r="B435" s="0" t="s">
        <v>1754</v>
      </c>
      <c r="C435" s="0" t="s">
        <v>1755</v>
      </c>
      <c r="D435" s="0" t="s">
        <v>1756</v>
      </c>
      <c r="E435" s="0" t="s">
        <v>46</v>
      </c>
      <c r="F435" s="0" t="s">
        <v>46</v>
      </c>
      <c r="G435" s="0" t="s">
        <v>4461</v>
      </c>
      <c r="H435" s="0" t="s">
        <v>4462</v>
      </c>
      <c r="I435" s="0" t="s">
        <v>46</v>
      </c>
      <c r="J435" s="0" t="s">
        <v>46</v>
      </c>
      <c r="K435" s="0" t="s">
        <v>46</v>
      </c>
      <c r="L435" s="0" t="s">
        <v>46</v>
      </c>
      <c r="M435" s="0" t="s">
        <v>46</v>
      </c>
      <c r="N435" s="0" t="s">
        <v>46</v>
      </c>
    </row>
    <row r="436" customFormat="false" ht="15" hidden="false" customHeight="false" outlineLevel="0" collapsed="false">
      <c r="A436" s="0" t="s">
        <v>4463</v>
      </c>
      <c r="B436" s="0" t="s">
        <v>366</v>
      </c>
      <c r="C436" s="0" t="s">
        <v>367</v>
      </c>
      <c r="D436" s="0" t="s">
        <v>46</v>
      </c>
      <c r="E436" s="0" t="s">
        <v>46</v>
      </c>
      <c r="F436" s="0" t="s">
        <v>46</v>
      </c>
      <c r="G436" s="0" t="s">
        <v>4464</v>
      </c>
      <c r="H436" s="0" t="s">
        <v>3893</v>
      </c>
      <c r="I436" s="0" t="s">
        <v>46</v>
      </c>
      <c r="J436" s="0" t="s">
        <v>46</v>
      </c>
      <c r="K436" s="0" t="s">
        <v>46</v>
      </c>
      <c r="L436" s="0" t="s">
        <v>46</v>
      </c>
      <c r="M436" s="0" t="s">
        <v>46</v>
      </c>
      <c r="N436" s="0" t="s">
        <v>46</v>
      </c>
    </row>
    <row r="437" customFormat="false" ht="15" hidden="false" customHeight="false" outlineLevel="0" collapsed="false">
      <c r="A437" s="0" t="s">
        <v>4465</v>
      </c>
      <c r="B437" s="0" t="s">
        <v>627</v>
      </c>
      <c r="C437" s="0" t="s">
        <v>628</v>
      </c>
      <c r="D437" s="0" t="s">
        <v>629</v>
      </c>
      <c r="E437" s="0" t="s">
        <v>46</v>
      </c>
      <c r="F437" s="0" t="s">
        <v>4466</v>
      </c>
      <c r="G437" s="0" t="s">
        <v>4467</v>
      </c>
      <c r="H437" s="0" t="s">
        <v>46</v>
      </c>
      <c r="I437" s="0" t="s">
        <v>46</v>
      </c>
      <c r="J437" s="0" t="s">
        <v>46</v>
      </c>
      <c r="K437" s="0" t="s">
        <v>46</v>
      </c>
      <c r="L437" s="0" t="s">
        <v>46</v>
      </c>
      <c r="M437" s="0" t="s">
        <v>46</v>
      </c>
      <c r="N437" s="0" t="s">
        <v>46</v>
      </c>
    </row>
    <row r="438" customFormat="false" ht="15" hidden="false" customHeight="false" outlineLevel="0" collapsed="false">
      <c r="A438" s="0" t="s">
        <v>4468</v>
      </c>
      <c r="B438" s="0" t="s">
        <v>2133</v>
      </c>
      <c r="C438" s="0" t="s">
        <v>2134</v>
      </c>
      <c r="D438" s="0" t="s">
        <v>2135</v>
      </c>
      <c r="E438" s="0" t="s">
        <v>46</v>
      </c>
      <c r="F438" s="0" t="s">
        <v>4469</v>
      </c>
      <c r="G438" s="0" t="s">
        <v>4470</v>
      </c>
      <c r="H438" s="0" t="s">
        <v>4471</v>
      </c>
      <c r="I438" s="0" t="s">
        <v>46</v>
      </c>
      <c r="J438" s="0" t="s">
        <v>46</v>
      </c>
      <c r="K438" s="0" t="s">
        <v>46</v>
      </c>
      <c r="L438" s="0" t="s">
        <v>46</v>
      </c>
      <c r="M438" s="0" t="s">
        <v>46</v>
      </c>
      <c r="N438" s="0" t="s">
        <v>46</v>
      </c>
    </row>
    <row r="439" customFormat="false" ht="15" hidden="false" customHeight="false" outlineLevel="0" collapsed="false">
      <c r="A439" s="0" t="s">
        <v>4472</v>
      </c>
      <c r="B439" s="0" t="s">
        <v>2100</v>
      </c>
      <c r="C439" s="0" t="s">
        <v>2101</v>
      </c>
      <c r="D439" s="0" t="s">
        <v>2102</v>
      </c>
      <c r="E439" s="0" t="s">
        <v>46</v>
      </c>
      <c r="F439" s="0" t="s">
        <v>46</v>
      </c>
      <c r="G439" s="0" t="s">
        <v>4473</v>
      </c>
      <c r="H439" s="0" t="s">
        <v>4474</v>
      </c>
      <c r="I439" s="0" t="s">
        <v>46</v>
      </c>
      <c r="J439" s="0" t="s">
        <v>46</v>
      </c>
      <c r="K439" s="0" t="s">
        <v>46</v>
      </c>
      <c r="L439" s="0" t="s">
        <v>46</v>
      </c>
      <c r="M439" s="0" t="s">
        <v>46</v>
      </c>
      <c r="N439" s="0" t="s">
        <v>46</v>
      </c>
    </row>
    <row r="440" customFormat="false" ht="15" hidden="false" customHeight="false" outlineLevel="0" collapsed="false">
      <c r="A440" s="0" t="s">
        <v>4475</v>
      </c>
      <c r="B440" s="0" t="s">
        <v>2610</v>
      </c>
      <c r="C440" s="0" t="s">
        <v>2611</v>
      </c>
      <c r="D440" s="0" t="s">
        <v>2612</v>
      </c>
      <c r="E440" s="0" t="s">
        <v>46</v>
      </c>
      <c r="F440" s="0" t="s">
        <v>4476</v>
      </c>
      <c r="G440" s="0" t="s">
        <v>4477</v>
      </c>
      <c r="H440" s="0" t="s">
        <v>4478</v>
      </c>
      <c r="I440" s="0" t="s">
        <v>46</v>
      </c>
      <c r="J440" s="0" t="s">
        <v>46</v>
      </c>
      <c r="K440" s="0" t="s">
        <v>46</v>
      </c>
      <c r="L440" s="0" t="s">
        <v>46</v>
      </c>
      <c r="M440" s="0" t="s">
        <v>46</v>
      </c>
      <c r="N440" s="0" t="s">
        <v>46</v>
      </c>
    </row>
    <row r="441" customFormat="false" ht="15" hidden="false" customHeight="false" outlineLevel="0" collapsed="false">
      <c r="A441" s="0" t="s">
        <v>4479</v>
      </c>
      <c r="B441" s="0" t="s">
        <v>2597</v>
      </c>
      <c r="C441" s="0" t="s">
        <v>2598</v>
      </c>
      <c r="D441" s="0" t="s">
        <v>2599</v>
      </c>
      <c r="E441" s="0" t="s">
        <v>46</v>
      </c>
      <c r="F441" s="0" t="s">
        <v>4480</v>
      </c>
      <c r="G441" s="0" t="s">
        <v>4481</v>
      </c>
      <c r="H441" s="0" t="s">
        <v>4482</v>
      </c>
      <c r="I441" s="0" t="s">
        <v>46</v>
      </c>
      <c r="J441" s="0" t="s">
        <v>46</v>
      </c>
      <c r="K441" s="0" t="s">
        <v>46</v>
      </c>
      <c r="L441" s="0" t="s">
        <v>46</v>
      </c>
      <c r="M441" s="0" t="s">
        <v>46</v>
      </c>
      <c r="N441" s="0" t="s">
        <v>46</v>
      </c>
    </row>
    <row r="442" customFormat="false" ht="15" hidden="false" customHeight="false" outlineLevel="0" collapsed="false">
      <c r="A442" s="0" t="s">
        <v>4483</v>
      </c>
      <c r="B442" s="0" t="s">
        <v>2898</v>
      </c>
      <c r="C442" s="0" t="s">
        <v>2899</v>
      </c>
      <c r="D442" s="0" t="s">
        <v>2900</v>
      </c>
      <c r="E442" s="0" t="s">
        <v>46</v>
      </c>
      <c r="F442" s="0" t="s">
        <v>46</v>
      </c>
      <c r="G442" s="0" t="s">
        <v>4484</v>
      </c>
      <c r="H442" s="0" t="s">
        <v>4485</v>
      </c>
      <c r="I442" s="0" t="s">
        <v>46</v>
      </c>
      <c r="J442" s="0" t="s">
        <v>46</v>
      </c>
      <c r="K442" s="0" t="s">
        <v>46</v>
      </c>
      <c r="L442" s="0" t="s">
        <v>46</v>
      </c>
      <c r="M442" s="0" t="s">
        <v>46</v>
      </c>
      <c r="N442" s="0" t="s">
        <v>46</v>
      </c>
    </row>
    <row r="443" customFormat="false" ht="15" hidden="false" customHeight="false" outlineLevel="0" collapsed="false">
      <c r="A443" s="0" t="s">
        <v>4486</v>
      </c>
      <c r="B443" s="0" t="s">
        <v>2753</v>
      </c>
      <c r="C443" s="0" t="s">
        <v>2754</v>
      </c>
      <c r="D443" s="0" t="s">
        <v>2755</v>
      </c>
      <c r="E443" s="0" t="s">
        <v>2756</v>
      </c>
      <c r="F443" s="0" t="s">
        <v>46</v>
      </c>
      <c r="G443" s="0" t="s">
        <v>4487</v>
      </c>
      <c r="H443" s="0" t="s">
        <v>4488</v>
      </c>
      <c r="I443" s="0" t="str">
        <f aca="false">HYPERLINK("https://omim.org/entry/274500", "274500")</f>
        <v>274500</v>
      </c>
      <c r="J443" s="0" t="s">
        <v>46</v>
      </c>
      <c r="K443" s="0" t="s">
        <v>46</v>
      </c>
      <c r="L443" s="0" t="s">
        <v>46</v>
      </c>
      <c r="M443" s="0" t="s">
        <v>46</v>
      </c>
      <c r="N443" s="0" t="s">
        <v>46</v>
      </c>
    </row>
    <row r="444" customFormat="false" ht="15" hidden="false" customHeight="false" outlineLevel="0" collapsed="false">
      <c r="A444" s="0" t="s">
        <v>4489</v>
      </c>
      <c r="B444" s="0" t="s">
        <v>2330</v>
      </c>
      <c r="C444" s="0" t="s">
        <v>2331</v>
      </c>
      <c r="D444" s="0" t="s">
        <v>2332</v>
      </c>
      <c r="E444" s="0" t="s">
        <v>2333</v>
      </c>
      <c r="F444" s="0" t="s">
        <v>4490</v>
      </c>
      <c r="G444" s="0" t="s">
        <v>4491</v>
      </c>
      <c r="H444" s="0" t="s">
        <v>4492</v>
      </c>
      <c r="I444" s="0" t="str">
        <f aca="false">HYPERLINK("https://omim.org/entry/204500", "204500")</f>
        <v>204500</v>
      </c>
      <c r="J444" s="0" t="str">
        <f aca="false">HYPERLINK("https://omim.org/entry/609270", "609270")</f>
        <v>609270</v>
      </c>
      <c r="K444" s="0" t="s">
        <v>46</v>
      </c>
      <c r="L444" s="0" t="s">
        <v>46</v>
      </c>
      <c r="M444" s="0" t="s">
        <v>46</v>
      </c>
      <c r="N444" s="0" t="s">
        <v>46</v>
      </c>
    </row>
    <row r="445" customFormat="false" ht="15" hidden="false" customHeight="false" outlineLevel="0" collapsed="false">
      <c r="A445" s="0" t="s">
        <v>4493</v>
      </c>
      <c r="B445" s="0" t="s">
        <v>3020</v>
      </c>
      <c r="C445" s="0" t="s">
        <v>3021</v>
      </c>
      <c r="D445" s="0" t="s">
        <v>3022</v>
      </c>
      <c r="E445" s="0" t="s">
        <v>3023</v>
      </c>
      <c r="F445" s="0" t="s">
        <v>46</v>
      </c>
      <c r="G445" s="0" t="s">
        <v>4494</v>
      </c>
      <c r="H445" s="0" t="s">
        <v>4495</v>
      </c>
      <c r="I445" s="0" t="str">
        <f aca="false">HYPERLINK("https://omim.org/entry/615441", "615441")</f>
        <v>615441</v>
      </c>
      <c r="J445" s="0" t="s">
        <v>46</v>
      </c>
      <c r="K445" s="0" t="s">
        <v>46</v>
      </c>
      <c r="L445" s="0" t="s">
        <v>46</v>
      </c>
      <c r="M445" s="0" t="s">
        <v>46</v>
      </c>
      <c r="N445" s="0" t="s">
        <v>46</v>
      </c>
    </row>
    <row r="446" customFormat="false" ht="15" hidden="false" customHeight="false" outlineLevel="0" collapsed="false">
      <c r="A446" s="0" t="s">
        <v>4496</v>
      </c>
      <c r="B446" s="0" t="s">
        <v>2460</v>
      </c>
      <c r="C446" s="0" t="s">
        <v>2461</v>
      </c>
      <c r="D446" s="0" t="s">
        <v>2462</v>
      </c>
      <c r="E446" s="0" t="s">
        <v>2463</v>
      </c>
      <c r="F446" s="0" t="s">
        <v>4497</v>
      </c>
      <c r="G446" s="0" t="s">
        <v>4498</v>
      </c>
      <c r="H446" s="0" t="s">
        <v>4499</v>
      </c>
      <c r="I446" s="0" t="str">
        <f aca="false">HYPERLINK("https://omim.org/entry/275200", "275200")</f>
        <v>275200</v>
      </c>
      <c r="J446" s="0" t="str">
        <f aca="false">HYPERLINK("https://omim.org/entry/603373", "603373")</f>
        <v>603373</v>
      </c>
      <c r="K446" s="0" t="str">
        <f aca="false">HYPERLINK("https://omim.org/entry/609152", "609152")</f>
        <v>609152</v>
      </c>
      <c r="L446" s="0" t="s">
        <v>46</v>
      </c>
      <c r="M446" s="0" t="s">
        <v>46</v>
      </c>
      <c r="N446" s="0" t="s">
        <v>46</v>
      </c>
    </row>
    <row r="447" customFormat="false" ht="15" hidden="false" customHeight="false" outlineLevel="0" collapsed="false">
      <c r="A447" s="0" t="s">
        <v>4500</v>
      </c>
      <c r="B447" s="0" t="s">
        <v>538</v>
      </c>
      <c r="C447" s="0" t="s">
        <v>539</v>
      </c>
      <c r="D447" s="0" t="s">
        <v>46</v>
      </c>
      <c r="E447" s="0" t="s">
        <v>46</v>
      </c>
      <c r="F447" s="0" t="s">
        <v>46</v>
      </c>
      <c r="G447" s="0" t="s">
        <v>46</v>
      </c>
      <c r="H447" s="0" t="s">
        <v>46</v>
      </c>
      <c r="I447" s="0" t="s">
        <v>46</v>
      </c>
      <c r="J447" s="0" t="s">
        <v>46</v>
      </c>
      <c r="K447" s="0" t="s">
        <v>46</v>
      </c>
      <c r="L447" s="0" t="s">
        <v>46</v>
      </c>
      <c r="M447" s="0" t="s">
        <v>46</v>
      </c>
      <c r="N447" s="0" t="s">
        <v>46</v>
      </c>
    </row>
    <row r="448" customFormat="false" ht="15" hidden="false" customHeight="false" outlineLevel="0" collapsed="false">
      <c r="A448" s="0" t="s">
        <v>4501</v>
      </c>
      <c r="B448" s="0" t="s">
        <v>1503</v>
      </c>
      <c r="C448" s="0" t="s">
        <v>1504</v>
      </c>
      <c r="D448" s="0" t="s">
        <v>1505</v>
      </c>
      <c r="E448" s="0" t="s">
        <v>1506</v>
      </c>
      <c r="F448" s="0" t="s">
        <v>4502</v>
      </c>
      <c r="G448" s="0" t="s">
        <v>4503</v>
      </c>
      <c r="H448" s="0" t="s">
        <v>4504</v>
      </c>
      <c r="I448" s="0" t="str">
        <f aca="false">HYPERLINK("https://omim.org/entry/603689", "603689")</f>
        <v>603689</v>
      </c>
      <c r="J448" s="0" t="str">
        <f aca="false">HYPERLINK("https://omim.org/entry/613765", "613765")</f>
        <v>613765</v>
      </c>
      <c r="K448" s="0" t="str">
        <f aca="false">HYPERLINK("https://omim.org/entry/604145", "604145")</f>
        <v>604145</v>
      </c>
      <c r="L448" s="0" t="str">
        <f aca="false">HYPERLINK("https://omim.org/entry/600334", "600334")</f>
        <v>600334</v>
      </c>
      <c r="M448" s="0" t="str">
        <f aca="false">HYPERLINK("https://omim.org/entry/608807", "608807")</f>
        <v>608807</v>
      </c>
      <c r="N448" s="0" t="str">
        <f aca="false">HYPERLINK("https://omim.org/entry/611705", "611705")</f>
        <v>611705</v>
      </c>
    </row>
    <row r="449" customFormat="false" ht="15" hidden="false" customHeight="false" outlineLevel="0" collapsed="false">
      <c r="A449" s="0" t="s">
        <v>4505</v>
      </c>
      <c r="B449" s="0" t="s">
        <v>2851</v>
      </c>
      <c r="C449" s="0" t="s">
        <v>2852</v>
      </c>
      <c r="D449" s="0" t="s">
        <v>2853</v>
      </c>
      <c r="E449" s="0" t="s">
        <v>2854</v>
      </c>
      <c r="F449" s="0" t="s">
        <v>4506</v>
      </c>
      <c r="G449" s="0" t="s">
        <v>4507</v>
      </c>
      <c r="H449" s="0" t="s">
        <v>46</v>
      </c>
      <c r="I449" s="0" t="str">
        <f aca="false">HYPERLINK("https://omim.org/entry/613180", "613180")</f>
        <v>613180</v>
      </c>
      <c r="J449" s="0" t="s">
        <v>46</v>
      </c>
      <c r="K449" s="0" t="s">
        <v>46</v>
      </c>
      <c r="L449" s="0" t="s">
        <v>46</v>
      </c>
      <c r="M449" s="0" t="s">
        <v>46</v>
      </c>
      <c r="N449" s="0" t="s">
        <v>46</v>
      </c>
    </row>
    <row r="450" customFormat="false" ht="15" hidden="false" customHeight="false" outlineLevel="0" collapsed="false">
      <c r="A450" s="0" t="s">
        <v>4508</v>
      </c>
      <c r="B450" s="0" t="s">
        <v>2171</v>
      </c>
      <c r="C450" s="0" t="s">
        <v>2172</v>
      </c>
      <c r="D450" s="0" t="s">
        <v>2173</v>
      </c>
      <c r="E450" s="0" t="s">
        <v>2174</v>
      </c>
      <c r="F450" s="0" t="s">
        <v>4509</v>
      </c>
      <c r="G450" s="0" t="s">
        <v>4510</v>
      </c>
      <c r="H450" s="0" t="s">
        <v>4511</v>
      </c>
      <c r="I450" s="0" t="str">
        <f aca="false">HYPERLINK("https://omim.org/entry/613112", "613112")</f>
        <v>613112</v>
      </c>
      <c r="J450" s="0" t="s">
        <v>46</v>
      </c>
      <c r="K450" s="0" t="s">
        <v>46</v>
      </c>
      <c r="L450" s="0" t="s">
        <v>46</v>
      </c>
      <c r="M450" s="0" t="s">
        <v>46</v>
      </c>
      <c r="N450" s="0" t="s">
        <v>46</v>
      </c>
    </row>
    <row r="451" customFormat="false" ht="15" hidden="false" customHeight="false" outlineLevel="0" collapsed="false">
      <c r="A451" s="0" t="s">
        <v>4512</v>
      </c>
      <c r="B451" s="0" t="s">
        <v>1203</v>
      </c>
      <c r="C451" s="0" t="s">
        <v>1204</v>
      </c>
      <c r="D451" s="0" t="s">
        <v>1205</v>
      </c>
      <c r="E451" s="0" t="s">
        <v>1206</v>
      </c>
      <c r="F451" s="0" t="s">
        <v>46</v>
      </c>
      <c r="G451" s="0" t="s">
        <v>4513</v>
      </c>
      <c r="H451" s="0" t="s">
        <v>4514</v>
      </c>
      <c r="I451" s="0" t="str">
        <f aca="false">HYPERLINK("https://omim.org/entry/610678", "610678")</f>
        <v>610678</v>
      </c>
      <c r="J451" s="0" t="s">
        <v>46</v>
      </c>
      <c r="K451" s="0" t="s">
        <v>46</v>
      </c>
      <c r="L451" s="0" t="s">
        <v>46</v>
      </c>
      <c r="M451" s="0" t="s">
        <v>46</v>
      </c>
      <c r="N451" s="0" t="s">
        <v>46</v>
      </c>
    </row>
    <row r="452" customFormat="false" ht="15" hidden="false" customHeight="false" outlineLevel="0" collapsed="false">
      <c r="A452" s="0" t="s">
        <v>4515</v>
      </c>
      <c r="B452" s="0" t="s">
        <v>1129</v>
      </c>
      <c r="C452" s="0" t="s">
        <v>1130</v>
      </c>
      <c r="D452" s="0" t="s">
        <v>1131</v>
      </c>
      <c r="E452" s="0" t="s">
        <v>1132</v>
      </c>
      <c r="F452" s="0" t="s">
        <v>4516</v>
      </c>
      <c r="G452" s="0" t="s">
        <v>4517</v>
      </c>
      <c r="H452" s="0" t="s">
        <v>4518</v>
      </c>
      <c r="I452" s="0" t="str">
        <f aca="false">HYPERLINK("https://omim.org/entry/243800", "243800")</f>
        <v>243800</v>
      </c>
      <c r="J452" s="0" t="s">
        <v>46</v>
      </c>
      <c r="K452" s="0" t="s">
        <v>46</v>
      </c>
      <c r="L452" s="0" t="s">
        <v>46</v>
      </c>
      <c r="M452" s="0" t="s">
        <v>46</v>
      </c>
      <c r="N452" s="0" t="s">
        <v>46</v>
      </c>
    </row>
    <row r="453" customFormat="false" ht="15" hidden="false" customHeight="false" outlineLevel="0" collapsed="false">
      <c r="A453" s="0" t="s">
        <v>4519</v>
      </c>
      <c r="B453" s="0" t="s">
        <v>1723</v>
      </c>
      <c r="C453" s="0" t="s">
        <v>1724</v>
      </c>
      <c r="D453" s="0" t="s">
        <v>1725</v>
      </c>
      <c r="E453" s="0" t="s">
        <v>46</v>
      </c>
      <c r="F453" s="0" t="s">
        <v>46</v>
      </c>
      <c r="G453" s="0" t="s">
        <v>4520</v>
      </c>
      <c r="H453" s="0" t="s">
        <v>46</v>
      </c>
      <c r="I453" s="0" t="s">
        <v>46</v>
      </c>
      <c r="J453" s="0" t="s">
        <v>46</v>
      </c>
      <c r="K453" s="0" t="s">
        <v>46</v>
      </c>
      <c r="L453" s="0" t="s">
        <v>46</v>
      </c>
      <c r="M453" s="0" t="s">
        <v>46</v>
      </c>
      <c r="N453" s="0" t="s">
        <v>46</v>
      </c>
    </row>
    <row r="454" customFormat="false" ht="15" hidden="false" customHeight="false" outlineLevel="0" collapsed="false">
      <c r="A454" s="0" t="s">
        <v>4521</v>
      </c>
      <c r="B454" s="0" t="s">
        <v>1281</v>
      </c>
      <c r="C454" s="0" t="s">
        <v>1282</v>
      </c>
      <c r="D454" s="0" t="s">
        <v>1283</v>
      </c>
      <c r="E454" s="0" t="s">
        <v>1284</v>
      </c>
      <c r="F454" s="0" t="s">
        <v>4522</v>
      </c>
      <c r="G454" s="0" t="s">
        <v>4523</v>
      </c>
      <c r="H454" s="0" t="s">
        <v>4524</v>
      </c>
      <c r="I454" s="0" t="str">
        <f aca="false">HYPERLINK("https://omim.org/entry/616279", "616279")</f>
        <v>616279</v>
      </c>
      <c r="J454" s="0" t="s">
        <v>46</v>
      </c>
      <c r="K454" s="0" t="s">
        <v>46</v>
      </c>
      <c r="L454" s="0" t="s">
        <v>46</v>
      </c>
      <c r="M454" s="0" t="s">
        <v>46</v>
      </c>
      <c r="N454" s="0" t="s">
        <v>46</v>
      </c>
    </row>
    <row r="455" customFormat="false" ht="15" hidden="false" customHeight="false" outlineLevel="0" collapsed="false">
      <c r="A455" s="0" t="s">
        <v>4525</v>
      </c>
      <c r="B455" s="0" t="s">
        <v>530</v>
      </c>
      <c r="C455" s="0" t="s">
        <v>531</v>
      </c>
      <c r="D455" s="0" t="s">
        <v>532</v>
      </c>
      <c r="E455" s="0" t="s">
        <v>533</v>
      </c>
      <c r="F455" s="0" t="s">
        <v>46</v>
      </c>
      <c r="G455" s="0" t="s">
        <v>4526</v>
      </c>
      <c r="H455" s="0" t="s">
        <v>4527</v>
      </c>
      <c r="I455" s="0" t="str">
        <f aca="false">HYPERLINK("https://omim.org/entry/176100", "176100")</f>
        <v>176100</v>
      </c>
      <c r="J455" s="0" t="str">
        <f aca="false">HYPERLINK("https://omim.org/entry/176100", "176100")</f>
        <v>176100</v>
      </c>
      <c r="K455" s="0" t="s">
        <v>46</v>
      </c>
      <c r="L455" s="0" t="s">
        <v>46</v>
      </c>
      <c r="M455" s="0" t="s">
        <v>46</v>
      </c>
      <c r="N455" s="0" t="s">
        <v>46</v>
      </c>
    </row>
    <row r="456" customFormat="false" ht="15" hidden="false" customHeight="false" outlineLevel="0" collapsed="false">
      <c r="A456" s="0" t="s">
        <v>4528</v>
      </c>
      <c r="B456" s="0" t="s">
        <v>128</v>
      </c>
      <c r="C456" s="0" t="s">
        <v>129</v>
      </c>
      <c r="D456" s="0" t="s">
        <v>130</v>
      </c>
      <c r="E456" s="0" t="s">
        <v>131</v>
      </c>
      <c r="F456" s="0" t="s">
        <v>4529</v>
      </c>
      <c r="G456" s="0" t="s">
        <v>4530</v>
      </c>
      <c r="H456" s="0" t="s">
        <v>4531</v>
      </c>
      <c r="I456" s="0" t="str">
        <f aca="false">HYPERLINK("https://omim.org/entry/276901", "276901")</f>
        <v>276901</v>
      </c>
      <c r="J456" s="0" t="str">
        <f aca="false">HYPERLINK("https://omim.org/entry/613809", "613809")</f>
        <v>613809</v>
      </c>
      <c r="K456" s="0" t="s">
        <v>46</v>
      </c>
      <c r="L456" s="0" t="s">
        <v>46</v>
      </c>
      <c r="M456" s="0" t="s">
        <v>46</v>
      </c>
      <c r="N456" s="0" t="s">
        <v>46</v>
      </c>
    </row>
    <row r="457" customFormat="false" ht="15" hidden="false" customHeight="false" outlineLevel="0" collapsed="false">
      <c r="A457" s="0" t="s">
        <v>4532</v>
      </c>
      <c r="B457" s="0" t="s">
        <v>1302</v>
      </c>
      <c r="C457" s="0" t="s">
        <v>1303</v>
      </c>
      <c r="D457" s="0" t="s">
        <v>46</v>
      </c>
      <c r="E457" s="0" t="s">
        <v>46</v>
      </c>
      <c r="F457" s="0" t="s">
        <v>46</v>
      </c>
      <c r="G457" s="0" t="s">
        <v>4533</v>
      </c>
      <c r="H457" s="0" t="s">
        <v>4534</v>
      </c>
      <c r="I457" s="0" t="s">
        <v>46</v>
      </c>
      <c r="J457" s="0" t="s">
        <v>46</v>
      </c>
      <c r="K457" s="0" t="s">
        <v>46</v>
      </c>
      <c r="L457" s="0" t="s">
        <v>46</v>
      </c>
      <c r="M457" s="0" t="s">
        <v>46</v>
      </c>
      <c r="N457" s="0" t="s">
        <v>46</v>
      </c>
    </row>
    <row r="458" customFormat="false" ht="15" hidden="false" customHeight="false" outlineLevel="0" collapsed="false">
      <c r="A458" s="0" t="s">
        <v>4535</v>
      </c>
      <c r="B458" s="0" t="s">
        <v>678</v>
      </c>
      <c r="C458" s="0" t="s">
        <v>679</v>
      </c>
      <c r="D458" s="0" t="s">
        <v>680</v>
      </c>
      <c r="E458" s="0" t="s">
        <v>46</v>
      </c>
      <c r="F458" s="0" t="s">
        <v>4536</v>
      </c>
      <c r="G458" s="0" t="s">
        <v>4537</v>
      </c>
      <c r="H458" s="0" t="s">
        <v>3832</v>
      </c>
      <c r="I458" s="0" t="s">
        <v>46</v>
      </c>
      <c r="J458" s="0" t="s">
        <v>46</v>
      </c>
      <c r="K458" s="0" t="s">
        <v>46</v>
      </c>
      <c r="L458" s="0" t="s">
        <v>46</v>
      </c>
      <c r="M458" s="0" t="s">
        <v>46</v>
      </c>
      <c r="N458" s="0" t="s">
        <v>46</v>
      </c>
    </row>
    <row r="459" customFormat="false" ht="15" hidden="false" customHeight="false" outlineLevel="0" collapsed="false">
      <c r="A459" s="0" t="s">
        <v>4538</v>
      </c>
      <c r="B459" s="0" t="s">
        <v>3000</v>
      </c>
      <c r="C459" s="0" t="s">
        <v>3001</v>
      </c>
      <c r="D459" s="0" t="s">
        <v>46</v>
      </c>
      <c r="E459" s="0" t="s">
        <v>3002</v>
      </c>
      <c r="F459" s="0" t="s">
        <v>46</v>
      </c>
      <c r="G459" s="0" t="s">
        <v>4539</v>
      </c>
      <c r="H459" s="0" t="s">
        <v>4083</v>
      </c>
      <c r="I459" s="0" t="str">
        <f aca="false">HYPERLINK("https://omim.org/entry/615917", "615917")</f>
        <v>615917</v>
      </c>
      <c r="J459" s="0" t="s">
        <v>46</v>
      </c>
      <c r="K459" s="0" t="s">
        <v>46</v>
      </c>
      <c r="L459" s="0" t="s">
        <v>46</v>
      </c>
      <c r="M459" s="0" t="s">
        <v>46</v>
      </c>
      <c r="N459" s="0" t="s">
        <v>46</v>
      </c>
    </row>
    <row r="460" customFormat="false" ht="15" hidden="false" customHeight="false" outlineLevel="0" collapsed="false">
      <c r="A460" s="0" t="s">
        <v>4540</v>
      </c>
      <c r="B460" s="0" t="s">
        <v>2890</v>
      </c>
      <c r="C460" s="0" t="s">
        <v>2891</v>
      </c>
      <c r="D460" s="0" t="s">
        <v>2892</v>
      </c>
      <c r="E460" s="0" t="s">
        <v>46</v>
      </c>
      <c r="F460" s="0" t="s">
        <v>46</v>
      </c>
      <c r="G460" s="0" t="s">
        <v>4541</v>
      </c>
      <c r="H460" s="0" t="s">
        <v>4542</v>
      </c>
      <c r="I460" s="0" t="s">
        <v>46</v>
      </c>
      <c r="J460" s="0" t="s">
        <v>46</v>
      </c>
      <c r="K460" s="0" t="s">
        <v>46</v>
      </c>
      <c r="L460" s="0" t="s">
        <v>46</v>
      </c>
      <c r="M460" s="0" t="s">
        <v>46</v>
      </c>
      <c r="N460" s="0" t="s">
        <v>46</v>
      </c>
    </row>
    <row r="461" customFormat="false" ht="15" hidden="false" customHeight="false" outlineLevel="0" collapsed="false">
      <c r="A461" s="0" t="s">
        <v>4543</v>
      </c>
      <c r="B461" s="0" t="s">
        <v>2884</v>
      </c>
      <c r="C461" s="0" t="s">
        <v>2885</v>
      </c>
      <c r="D461" s="0" t="s">
        <v>2886</v>
      </c>
      <c r="E461" s="0" t="s">
        <v>2887</v>
      </c>
      <c r="F461" s="0" t="s">
        <v>4544</v>
      </c>
      <c r="G461" s="0" t="s">
        <v>4545</v>
      </c>
      <c r="H461" s="0" t="s">
        <v>4546</v>
      </c>
      <c r="I461" s="0" t="str">
        <f aca="false">HYPERLINK("https://omim.org/entry/171300", "171300")</f>
        <v>171300</v>
      </c>
      <c r="J461" s="0" t="str">
        <f aca="false">HYPERLINK("https://omim.org/entry/193300", "193300")</f>
        <v>193300</v>
      </c>
      <c r="K461" s="0" t="str">
        <f aca="false">HYPERLINK("https://omim.org/entry/263400", "263400")</f>
        <v>263400</v>
      </c>
      <c r="L461" s="0" t="str">
        <f aca="false">HYPERLINK("https://omim.org/entry/144700", "144700")</f>
        <v>144700</v>
      </c>
      <c r="M461" s="0" t="s">
        <v>46</v>
      </c>
      <c r="N461" s="0" t="s">
        <v>46</v>
      </c>
    </row>
    <row r="462" customFormat="false" ht="15" hidden="false" customHeight="false" outlineLevel="0" collapsed="false">
      <c r="A462" s="0" t="s">
        <v>4547</v>
      </c>
      <c r="B462" s="0" t="s">
        <v>671</v>
      </c>
      <c r="C462" s="0" t="s">
        <v>672</v>
      </c>
      <c r="D462" s="0" t="s">
        <v>673</v>
      </c>
      <c r="E462" s="0" t="s">
        <v>674</v>
      </c>
      <c r="F462" s="0" t="s">
        <v>4548</v>
      </c>
      <c r="G462" s="0" t="s">
        <v>4549</v>
      </c>
      <c r="H462" s="0" t="s">
        <v>4550</v>
      </c>
      <c r="I462" s="0" t="str">
        <f aca="false">HYPERLINK("https://omim.org/entry/116300", "116300")</f>
        <v>116300</v>
      </c>
      <c r="J462" s="0" t="s">
        <v>46</v>
      </c>
      <c r="K462" s="0" t="s">
        <v>46</v>
      </c>
      <c r="L462" s="0" t="s">
        <v>46</v>
      </c>
      <c r="M462" s="0" t="s">
        <v>46</v>
      </c>
      <c r="N462" s="0" t="s">
        <v>46</v>
      </c>
    </row>
    <row r="463" customFormat="false" ht="15" hidden="false" customHeight="false" outlineLevel="0" collapsed="false">
      <c r="A463" s="0" t="s">
        <v>4551</v>
      </c>
      <c r="B463" s="0" t="s">
        <v>1366</v>
      </c>
      <c r="C463" s="0" t="s">
        <v>1367</v>
      </c>
      <c r="D463" s="0" t="s">
        <v>46</v>
      </c>
      <c r="E463" s="0" t="s">
        <v>46</v>
      </c>
      <c r="F463" s="0" t="s">
        <v>46</v>
      </c>
      <c r="G463" s="0" t="s">
        <v>4552</v>
      </c>
      <c r="H463" s="0" t="s">
        <v>4553</v>
      </c>
      <c r="I463" s="0" t="s">
        <v>46</v>
      </c>
      <c r="J463" s="0" t="s">
        <v>46</v>
      </c>
      <c r="K463" s="0" t="s">
        <v>46</v>
      </c>
      <c r="L463" s="0" t="s">
        <v>46</v>
      </c>
      <c r="M463" s="0" t="s">
        <v>46</v>
      </c>
      <c r="N463" s="0" t="s">
        <v>46</v>
      </c>
    </row>
    <row r="464" customFormat="false" ht="15" hidden="false" customHeight="false" outlineLevel="0" collapsed="false">
      <c r="A464" s="0" t="s">
        <v>4554</v>
      </c>
      <c r="B464" s="0" t="s">
        <v>2151</v>
      </c>
      <c r="C464" s="0" t="s">
        <v>2152</v>
      </c>
      <c r="D464" s="0" t="s">
        <v>2153</v>
      </c>
      <c r="E464" s="0" t="s">
        <v>46</v>
      </c>
      <c r="F464" s="0" t="s">
        <v>46</v>
      </c>
      <c r="G464" s="0" t="s">
        <v>4555</v>
      </c>
      <c r="H464" s="0" t="s">
        <v>3540</v>
      </c>
      <c r="I464" s="0" t="s">
        <v>46</v>
      </c>
      <c r="J464" s="0" t="s">
        <v>46</v>
      </c>
      <c r="K464" s="0" t="s">
        <v>46</v>
      </c>
      <c r="L464" s="0" t="s">
        <v>46</v>
      </c>
      <c r="M464" s="0" t="s">
        <v>46</v>
      </c>
      <c r="N464" s="0" t="s">
        <v>46</v>
      </c>
    </row>
    <row r="465" customFormat="false" ht="15" hidden="false" customHeight="false" outlineLevel="0" collapsed="false">
      <c r="A465" s="0" t="s">
        <v>4556</v>
      </c>
      <c r="B465" s="0" t="s">
        <v>1451</v>
      </c>
      <c r="C465" s="0" t="s">
        <v>1452</v>
      </c>
      <c r="D465" s="0" t="s">
        <v>1453</v>
      </c>
      <c r="E465" s="0" t="s">
        <v>46</v>
      </c>
      <c r="F465" s="0" t="s">
        <v>46</v>
      </c>
      <c r="G465" s="0" t="s">
        <v>4557</v>
      </c>
      <c r="H465" s="0" t="s">
        <v>4558</v>
      </c>
      <c r="I465" s="0" t="s">
        <v>46</v>
      </c>
      <c r="J465" s="0" t="s">
        <v>46</v>
      </c>
      <c r="K465" s="0" t="s">
        <v>46</v>
      </c>
      <c r="L465" s="0" t="s">
        <v>46</v>
      </c>
      <c r="M465" s="0" t="s">
        <v>46</v>
      </c>
      <c r="N465" s="0" t="s">
        <v>46</v>
      </c>
    </row>
    <row r="466" customFormat="false" ht="15" hidden="false" customHeight="false" outlineLevel="0" collapsed="false">
      <c r="A466" s="0" t="s">
        <v>4559</v>
      </c>
      <c r="B466" s="0" t="s">
        <v>195</v>
      </c>
      <c r="C466" s="0" t="s">
        <v>196</v>
      </c>
      <c r="D466" s="0" t="s">
        <v>197</v>
      </c>
      <c r="E466" s="0" t="s">
        <v>198</v>
      </c>
      <c r="F466" s="0" t="s">
        <v>4560</v>
      </c>
      <c r="G466" s="0" t="s">
        <v>46</v>
      </c>
      <c r="H466" s="0" t="s">
        <v>46</v>
      </c>
      <c r="I466" s="0" t="str">
        <f aca="false">HYPERLINK("https://omim.org/entry/148300", "148300")</f>
        <v>148300</v>
      </c>
      <c r="J466" s="0" t="str">
        <f aca="false">HYPERLINK("https://omim.org/entry/614195", "614195")</f>
        <v>614195</v>
      </c>
      <c r="K466" s="0" t="s">
        <v>46</v>
      </c>
      <c r="L466" s="0" t="s">
        <v>46</v>
      </c>
      <c r="M466" s="0" t="s">
        <v>46</v>
      </c>
      <c r="N466" s="0" t="s">
        <v>46</v>
      </c>
    </row>
    <row r="467" customFormat="false" ht="15" hidden="false" customHeight="false" outlineLevel="0" collapsed="false">
      <c r="A467" s="0" t="s">
        <v>4561</v>
      </c>
      <c r="B467" s="0" t="s">
        <v>331</v>
      </c>
      <c r="C467" s="0" t="s">
        <v>332</v>
      </c>
      <c r="D467" s="0" t="s">
        <v>46</v>
      </c>
      <c r="E467" s="0" t="s">
        <v>46</v>
      </c>
      <c r="F467" s="0" t="s">
        <v>4562</v>
      </c>
      <c r="G467" s="0" t="s">
        <v>4563</v>
      </c>
      <c r="H467" s="0" t="s">
        <v>4564</v>
      </c>
      <c r="I467" s="0" t="s">
        <v>46</v>
      </c>
      <c r="J467" s="0" t="s">
        <v>46</v>
      </c>
      <c r="K467" s="0" t="s">
        <v>46</v>
      </c>
      <c r="L467" s="0" t="s">
        <v>46</v>
      </c>
      <c r="M467" s="0" t="s">
        <v>46</v>
      </c>
      <c r="N467" s="0" t="s">
        <v>46</v>
      </c>
    </row>
    <row r="468" customFormat="false" ht="15" hidden="false" customHeight="false" outlineLevel="0" collapsed="false">
      <c r="A468" s="0" t="s">
        <v>4565</v>
      </c>
      <c r="B468" s="0" t="s">
        <v>3012</v>
      </c>
      <c r="C468" s="0" t="s">
        <v>3013</v>
      </c>
      <c r="D468" s="0" t="s">
        <v>46</v>
      </c>
      <c r="E468" s="0" t="s">
        <v>46</v>
      </c>
      <c r="F468" s="0" t="s">
        <v>4566</v>
      </c>
      <c r="G468" s="0" t="s">
        <v>46</v>
      </c>
      <c r="H468" s="0" t="s">
        <v>46</v>
      </c>
      <c r="I468" s="0" t="s">
        <v>46</v>
      </c>
      <c r="J468" s="0" t="s">
        <v>46</v>
      </c>
      <c r="K468" s="0" t="s">
        <v>46</v>
      </c>
      <c r="L468" s="0" t="s">
        <v>46</v>
      </c>
      <c r="M468" s="0" t="s">
        <v>46</v>
      </c>
      <c r="N468" s="0" t="s">
        <v>46</v>
      </c>
    </row>
    <row r="469" customFormat="false" ht="15" hidden="false" customHeight="false" outlineLevel="0" collapsed="false">
      <c r="A469" s="0" t="s">
        <v>4567</v>
      </c>
      <c r="B469" s="0" t="s">
        <v>2281</v>
      </c>
      <c r="C469" s="0" t="s">
        <v>2282</v>
      </c>
      <c r="D469" s="0" t="s">
        <v>46</v>
      </c>
      <c r="E469" s="0" t="s">
        <v>46</v>
      </c>
      <c r="F469" s="0" t="s">
        <v>3315</v>
      </c>
      <c r="G469" s="0" t="s">
        <v>4568</v>
      </c>
      <c r="H469" s="0" t="s">
        <v>4569</v>
      </c>
      <c r="I469" s="0" t="s">
        <v>46</v>
      </c>
      <c r="J469" s="0" t="s">
        <v>46</v>
      </c>
      <c r="K469" s="0" t="s">
        <v>46</v>
      </c>
      <c r="L469" s="0" t="s">
        <v>46</v>
      </c>
      <c r="M469" s="0" t="s">
        <v>46</v>
      </c>
      <c r="N469" s="0" t="s">
        <v>46</v>
      </c>
    </row>
    <row r="470" customFormat="false" ht="15" hidden="false" customHeight="false" outlineLevel="0" collapsed="false">
      <c r="A470" s="0" t="s">
        <v>4570</v>
      </c>
      <c r="B470" s="0" t="s">
        <v>382</v>
      </c>
      <c r="C470" s="0" t="s">
        <v>383</v>
      </c>
      <c r="D470" s="0" t="s">
        <v>384</v>
      </c>
      <c r="E470" s="0" t="s">
        <v>385</v>
      </c>
      <c r="F470" s="0" t="s">
        <v>46</v>
      </c>
      <c r="G470" s="0" t="s">
        <v>4571</v>
      </c>
      <c r="H470" s="0" t="s">
        <v>4572</v>
      </c>
      <c r="I470" s="0" t="str">
        <f aca="false">HYPERLINK("https://omim.org/entry/613610", "613610")</f>
        <v>613610</v>
      </c>
      <c r="J470" s="0" t="str">
        <f aca="false">HYPERLINK("https://omim.org/entry/614091", "614091")</f>
        <v>614091</v>
      </c>
      <c r="K470" s="0" t="s">
        <v>46</v>
      </c>
      <c r="L470" s="0" t="s">
        <v>46</v>
      </c>
      <c r="M470" s="0" t="s">
        <v>46</v>
      </c>
      <c r="N470" s="0" t="s">
        <v>46</v>
      </c>
    </row>
    <row r="471" customFormat="false" ht="15" hidden="false" customHeight="false" outlineLevel="0" collapsed="false">
      <c r="A471" s="0" t="s">
        <v>4573</v>
      </c>
      <c r="B471" s="0" t="s">
        <v>1948</v>
      </c>
      <c r="C471" s="0" t="s">
        <v>1949</v>
      </c>
      <c r="D471" s="0" t="s">
        <v>46</v>
      </c>
      <c r="E471" s="0" t="s">
        <v>46</v>
      </c>
      <c r="F471" s="0" t="s">
        <v>46</v>
      </c>
      <c r="G471" s="0" t="s">
        <v>46</v>
      </c>
      <c r="H471" s="0" t="s">
        <v>46</v>
      </c>
      <c r="I471" s="0" t="s">
        <v>46</v>
      </c>
      <c r="J471" s="0" t="s">
        <v>46</v>
      </c>
      <c r="K471" s="0" t="s">
        <v>46</v>
      </c>
      <c r="L471" s="0" t="s">
        <v>46</v>
      </c>
      <c r="M471" s="0" t="s">
        <v>46</v>
      </c>
      <c r="N471" s="0" t="s">
        <v>46</v>
      </c>
    </row>
    <row r="472" customFormat="false" ht="15" hidden="false" customHeight="false" outlineLevel="0" collapsed="false">
      <c r="A472" s="0" t="s">
        <v>4574</v>
      </c>
      <c r="B472" s="0" t="s">
        <v>46</v>
      </c>
      <c r="C472" s="0" t="s">
        <v>1900</v>
      </c>
      <c r="D472" s="0" t="s">
        <v>46</v>
      </c>
      <c r="E472" s="0" t="s">
        <v>46</v>
      </c>
      <c r="F472" s="0" t="s">
        <v>46</v>
      </c>
      <c r="G472" s="0" t="s">
        <v>46</v>
      </c>
      <c r="H472" s="0" t="s">
        <v>46</v>
      </c>
      <c r="I472" s="0" t="s">
        <v>46</v>
      </c>
      <c r="J472" s="0" t="s">
        <v>46</v>
      </c>
      <c r="K472" s="0" t="s">
        <v>46</v>
      </c>
      <c r="L472" s="0" t="s">
        <v>46</v>
      </c>
      <c r="M472" s="0" t="s">
        <v>46</v>
      </c>
      <c r="N472" s="0" t="s">
        <v>46</v>
      </c>
    </row>
    <row r="473" customFormat="false" ht="15" hidden="false" customHeight="false" outlineLevel="0" collapsed="false">
      <c r="A473" s="0" t="s">
        <v>4575</v>
      </c>
      <c r="B473" s="0" t="s">
        <v>1929</v>
      </c>
      <c r="C473" s="0" t="s">
        <v>1930</v>
      </c>
      <c r="D473" s="0" t="s">
        <v>1931</v>
      </c>
      <c r="E473" s="0" t="s">
        <v>46</v>
      </c>
      <c r="F473" s="0" t="s">
        <v>4576</v>
      </c>
      <c r="G473" s="0" t="s">
        <v>4577</v>
      </c>
      <c r="H473" s="0" t="s">
        <v>4578</v>
      </c>
      <c r="I473" s="0" t="s">
        <v>46</v>
      </c>
      <c r="J473" s="0" t="s">
        <v>46</v>
      </c>
      <c r="K473" s="0" t="s">
        <v>46</v>
      </c>
      <c r="L473" s="0" t="s">
        <v>46</v>
      </c>
      <c r="M473" s="0" t="s">
        <v>46</v>
      </c>
      <c r="N473" s="0" t="s">
        <v>46</v>
      </c>
    </row>
    <row r="474" customFormat="false" ht="15" hidden="false" customHeight="false" outlineLevel="0" collapsed="false">
      <c r="A474" s="0" t="s">
        <v>4579</v>
      </c>
      <c r="B474" s="0" t="s">
        <v>1255</v>
      </c>
      <c r="C474" s="0" t="s">
        <v>1256</v>
      </c>
      <c r="D474" s="0" t="s">
        <v>1257</v>
      </c>
      <c r="E474" s="0" t="s">
        <v>1258</v>
      </c>
      <c r="F474" s="0" t="s">
        <v>4580</v>
      </c>
      <c r="G474" s="0" t="s">
        <v>4581</v>
      </c>
      <c r="H474" s="0" t="s">
        <v>4582</v>
      </c>
      <c r="I474" s="0" t="str">
        <f aca="false">HYPERLINK("https://omim.org/entry/133239", "133239")</f>
        <v>133239</v>
      </c>
      <c r="J474" s="0" t="str">
        <f aca="false">HYPERLINK("https://omim.org/entry/614322", "614322")</f>
        <v>614322</v>
      </c>
      <c r="K474" s="0" t="str">
        <f aca="false">HYPERLINK("https://omim.org/entry/616211", "616211")</f>
        <v>616211</v>
      </c>
      <c r="L474" s="0" t="s">
        <v>46</v>
      </c>
      <c r="M474" s="0" t="s">
        <v>46</v>
      </c>
      <c r="N474" s="0" t="s">
        <v>46</v>
      </c>
    </row>
    <row r="475" customFormat="false" ht="15" hidden="false" customHeight="false" outlineLevel="0" collapsed="false">
      <c r="A475" s="0" t="s">
        <v>4583</v>
      </c>
      <c r="B475" s="0" t="s">
        <v>2894</v>
      </c>
      <c r="C475" s="0" t="s">
        <v>2895</v>
      </c>
      <c r="D475" s="0" t="s">
        <v>2896</v>
      </c>
      <c r="E475" s="0" t="s">
        <v>2897</v>
      </c>
      <c r="F475" s="0" t="s">
        <v>46</v>
      </c>
      <c r="G475" s="0" t="s">
        <v>4584</v>
      </c>
      <c r="H475" s="0" t="s">
        <v>3402</v>
      </c>
      <c r="I475" s="0" t="str">
        <f aca="false">HYPERLINK("https://omim.org/entry/278720", "278720")</f>
        <v>278720</v>
      </c>
      <c r="J475" s="0" t="s">
        <v>46</v>
      </c>
      <c r="K475" s="0" t="s">
        <v>46</v>
      </c>
      <c r="L475" s="0" t="s">
        <v>46</v>
      </c>
      <c r="M475" s="0" t="s">
        <v>46</v>
      </c>
      <c r="N475" s="0" t="s">
        <v>46</v>
      </c>
    </row>
    <row r="476" customFormat="false" ht="15" hidden="false" customHeight="false" outlineLevel="0" collapsed="false">
      <c r="A476" s="0" t="s">
        <v>4585</v>
      </c>
      <c r="B476" s="0" t="s">
        <v>2712</v>
      </c>
      <c r="C476" s="0" t="s">
        <v>2713</v>
      </c>
      <c r="D476" s="0" t="s">
        <v>2714</v>
      </c>
      <c r="E476" s="0" t="s">
        <v>46</v>
      </c>
      <c r="F476" s="0" t="s">
        <v>46</v>
      </c>
      <c r="G476" s="0" t="s">
        <v>4586</v>
      </c>
      <c r="H476" s="0" t="s">
        <v>4587</v>
      </c>
      <c r="I476" s="0" t="s">
        <v>46</v>
      </c>
      <c r="J476" s="0" t="s">
        <v>46</v>
      </c>
      <c r="K476" s="0" t="s">
        <v>46</v>
      </c>
      <c r="L476" s="0" t="s">
        <v>46</v>
      </c>
      <c r="M476" s="0" t="s">
        <v>46</v>
      </c>
      <c r="N476" s="0" t="s">
        <v>46</v>
      </c>
    </row>
    <row r="477" customFormat="false" ht="15" hidden="false" customHeight="false" outlineLevel="0" collapsed="false">
      <c r="A477" s="0" t="s">
        <v>4588</v>
      </c>
      <c r="B477" s="0" t="s">
        <v>664</v>
      </c>
      <c r="C477" s="0" t="s">
        <v>665</v>
      </c>
      <c r="D477" s="0" t="s">
        <v>666</v>
      </c>
      <c r="E477" s="0" t="s">
        <v>46</v>
      </c>
      <c r="F477" s="0" t="s">
        <v>46</v>
      </c>
      <c r="G477" s="0" t="s">
        <v>4589</v>
      </c>
      <c r="H477" s="0" t="s">
        <v>4590</v>
      </c>
      <c r="I477" s="0" t="s">
        <v>46</v>
      </c>
      <c r="J477" s="0" t="s">
        <v>46</v>
      </c>
      <c r="K477" s="0" t="s">
        <v>46</v>
      </c>
      <c r="L477" s="0" t="s">
        <v>46</v>
      </c>
      <c r="M477" s="0" t="s">
        <v>46</v>
      </c>
      <c r="N477" s="0" t="s">
        <v>46</v>
      </c>
    </row>
    <row r="478" customFormat="false" ht="15" hidden="false" customHeight="false" outlineLevel="0" collapsed="false">
      <c r="A478" s="0" t="s">
        <v>4591</v>
      </c>
      <c r="B478" s="0" t="s">
        <v>1856</v>
      </c>
      <c r="C478" s="0" t="s">
        <v>1857</v>
      </c>
      <c r="D478" s="0" t="s">
        <v>1858</v>
      </c>
      <c r="E478" s="0" t="s">
        <v>46</v>
      </c>
      <c r="F478" s="0" t="s">
        <v>4592</v>
      </c>
      <c r="G478" s="0" t="s">
        <v>46</v>
      </c>
      <c r="H478" s="0" t="s">
        <v>46</v>
      </c>
      <c r="I478" s="0" t="s">
        <v>46</v>
      </c>
      <c r="J478" s="0" t="s">
        <v>46</v>
      </c>
      <c r="K478" s="0" t="s">
        <v>46</v>
      </c>
      <c r="L478" s="0" t="s">
        <v>46</v>
      </c>
      <c r="M478" s="0" t="s">
        <v>46</v>
      </c>
      <c r="N478" s="0" t="s">
        <v>46</v>
      </c>
    </row>
    <row r="479" customFormat="false" ht="15" hidden="false" customHeight="false" outlineLevel="0" collapsed="false">
      <c r="A479" s="0" t="s">
        <v>4593</v>
      </c>
      <c r="B479" s="0" t="s">
        <v>2362</v>
      </c>
      <c r="C479" s="0" t="s">
        <v>2363</v>
      </c>
      <c r="D479" s="0" t="s">
        <v>2364</v>
      </c>
      <c r="E479" s="0" t="s">
        <v>2365</v>
      </c>
      <c r="F479" s="0" t="s">
        <v>4594</v>
      </c>
      <c r="G479" s="0" t="s">
        <v>4595</v>
      </c>
      <c r="H479" s="0" t="s">
        <v>4596</v>
      </c>
      <c r="I479" s="0" t="str">
        <f aca="false">HYPERLINK("https://omim.org/entry/612447", "612447")</f>
        <v>612447</v>
      </c>
      <c r="J479" s="0" t="s">
        <v>46</v>
      </c>
      <c r="K479" s="0" t="s">
        <v>46</v>
      </c>
      <c r="L479" s="0" t="s">
        <v>46</v>
      </c>
      <c r="M479" s="0" t="s">
        <v>46</v>
      </c>
      <c r="N479" s="0" t="s">
        <v>46</v>
      </c>
    </row>
    <row r="480" customFormat="false" ht="15" hidden="false" customHeight="false" outlineLevel="0" collapsed="false">
      <c r="A480" s="0" t="s">
        <v>4597</v>
      </c>
      <c r="B480" s="0" t="s">
        <v>1598</v>
      </c>
      <c r="C480" s="0" t="s">
        <v>1599</v>
      </c>
      <c r="D480" s="0" t="s">
        <v>1600</v>
      </c>
      <c r="E480" s="0" t="s">
        <v>46</v>
      </c>
      <c r="F480" s="0" t="s">
        <v>4598</v>
      </c>
      <c r="G480" s="0" t="s">
        <v>46</v>
      </c>
      <c r="H480" s="0" t="s">
        <v>46</v>
      </c>
      <c r="I480" s="0" t="s">
        <v>46</v>
      </c>
      <c r="J480" s="0" t="s">
        <v>46</v>
      </c>
      <c r="K480" s="0" t="s">
        <v>46</v>
      </c>
      <c r="L480" s="0" t="s">
        <v>46</v>
      </c>
      <c r="M480" s="0" t="s">
        <v>46</v>
      </c>
      <c r="N480" s="0" t="s">
        <v>46</v>
      </c>
    </row>
    <row r="481" customFormat="false" ht="15" hidden="false" customHeight="false" outlineLevel="0" collapsed="false">
      <c r="A481" s="0" t="s">
        <v>4599</v>
      </c>
      <c r="B481" s="0" t="s">
        <v>1924</v>
      </c>
      <c r="C481" s="0" t="s">
        <v>1925</v>
      </c>
      <c r="D481" s="0" t="s">
        <v>1926</v>
      </c>
      <c r="E481" s="0" t="s">
        <v>46</v>
      </c>
      <c r="F481" s="0" t="s">
        <v>46</v>
      </c>
      <c r="G481" s="0" t="s">
        <v>4600</v>
      </c>
      <c r="H481" s="0" t="s">
        <v>4601</v>
      </c>
      <c r="I481" s="0" t="s">
        <v>46</v>
      </c>
      <c r="J481" s="0" t="s">
        <v>46</v>
      </c>
      <c r="K481" s="0" t="s">
        <v>46</v>
      </c>
      <c r="L481" s="0" t="s">
        <v>46</v>
      </c>
      <c r="M481" s="0" t="s">
        <v>46</v>
      </c>
      <c r="N481" s="0" t="s">
        <v>46</v>
      </c>
    </row>
    <row r="482" customFormat="false" ht="15" hidden="false" customHeight="false" outlineLevel="0" collapsed="false">
      <c r="A482" s="0" t="s">
        <v>4602</v>
      </c>
      <c r="B482" s="0" t="s">
        <v>46</v>
      </c>
      <c r="C482" s="0" t="s">
        <v>2956</v>
      </c>
      <c r="D482" s="0" t="s">
        <v>46</v>
      </c>
      <c r="E482" s="0" t="s">
        <v>46</v>
      </c>
      <c r="F482" s="0" t="s">
        <v>46</v>
      </c>
      <c r="G482" s="0" t="s">
        <v>46</v>
      </c>
      <c r="H482" s="0" t="s">
        <v>46</v>
      </c>
      <c r="I482" s="0" t="s">
        <v>46</v>
      </c>
      <c r="J482" s="0" t="s">
        <v>46</v>
      </c>
      <c r="K482" s="0" t="s">
        <v>46</v>
      </c>
      <c r="L482" s="0" t="s">
        <v>46</v>
      </c>
      <c r="M482" s="0" t="s">
        <v>46</v>
      </c>
      <c r="N482" s="0" t="s">
        <v>46</v>
      </c>
    </row>
    <row r="483" customFormat="false" ht="15" hidden="false" customHeight="false" outlineLevel="0" collapsed="false">
      <c r="A483" s="0" t="s">
        <v>4603</v>
      </c>
      <c r="B483" s="0" t="s">
        <v>2076</v>
      </c>
      <c r="C483" s="0" t="s">
        <v>2077</v>
      </c>
      <c r="D483" s="0" t="s">
        <v>2078</v>
      </c>
      <c r="E483" s="0" t="s">
        <v>46</v>
      </c>
      <c r="F483" s="0" t="s">
        <v>46</v>
      </c>
      <c r="G483" s="0" t="s">
        <v>4604</v>
      </c>
      <c r="H483" s="0" t="s">
        <v>4605</v>
      </c>
      <c r="I483" s="0" t="s">
        <v>46</v>
      </c>
      <c r="J483" s="0" t="s">
        <v>46</v>
      </c>
      <c r="K483" s="0" t="s">
        <v>46</v>
      </c>
      <c r="L483" s="0" t="s">
        <v>46</v>
      </c>
      <c r="M483" s="0" t="s">
        <v>46</v>
      </c>
      <c r="N483" s="0" t="s">
        <v>46</v>
      </c>
    </row>
    <row r="484" customFormat="false" ht="15" hidden="false" customHeight="false" outlineLevel="0" collapsed="false">
      <c r="A484" s="0" t="s">
        <v>4606</v>
      </c>
      <c r="B484" s="0" t="s">
        <v>1870</v>
      </c>
      <c r="C484" s="0" t="s">
        <v>1871</v>
      </c>
      <c r="D484" s="0" t="s">
        <v>1872</v>
      </c>
      <c r="E484" s="0" t="s">
        <v>46</v>
      </c>
      <c r="F484" s="0" t="s">
        <v>46</v>
      </c>
      <c r="G484" s="0" t="s">
        <v>4607</v>
      </c>
      <c r="H484" s="0" t="s">
        <v>4608</v>
      </c>
      <c r="I484" s="0" t="s">
        <v>46</v>
      </c>
      <c r="J484" s="0" t="s">
        <v>46</v>
      </c>
      <c r="K484" s="0" t="s">
        <v>46</v>
      </c>
      <c r="L484" s="0" t="s">
        <v>46</v>
      </c>
      <c r="M484" s="0" t="s">
        <v>46</v>
      </c>
      <c r="N484" s="0" t="s">
        <v>46</v>
      </c>
    </row>
    <row r="485" customFormat="false" ht="15" hidden="false" customHeight="false" outlineLevel="0" collapsed="false">
      <c r="A485" s="0" t="s">
        <v>4609</v>
      </c>
      <c r="B485" s="0" t="s">
        <v>1389</v>
      </c>
      <c r="C485" s="0" t="s">
        <v>1390</v>
      </c>
      <c r="D485" s="0" t="s">
        <v>1391</v>
      </c>
      <c r="E485" s="0" t="s">
        <v>46</v>
      </c>
      <c r="F485" s="0" t="s">
        <v>46</v>
      </c>
      <c r="G485" s="0" t="s">
        <v>4610</v>
      </c>
      <c r="H485" s="0" t="s">
        <v>4611</v>
      </c>
      <c r="I485" s="0" t="s">
        <v>46</v>
      </c>
      <c r="J485" s="0" t="s">
        <v>46</v>
      </c>
      <c r="K485" s="0" t="s">
        <v>46</v>
      </c>
      <c r="L485" s="0" t="s">
        <v>46</v>
      </c>
      <c r="M485" s="0" t="s">
        <v>46</v>
      </c>
      <c r="N485"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279</TotalTime>
  <Application>LibreOffice/7.3.6.2$Linux_X86_64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2022-10-10T04:22:05Z</dcterms:created>
  <dc:creator>openpyxl</dc:creator>
  <dc:description/>
  <dc:language>en-US</dc:language>
  <cp:lastModifiedBy/>
  <dcterms:modified xsi:type="dcterms:W3CDTF">2022-10-14T17:53:35Z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